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oorhoev\iCloudDrive\work on health care in practice\health and human rights\"/>
    </mc:Choice>
  </mc:AlternateContent>
  <xr:revisionPtr revIDLastSave="0" documentId="8_{3B6E7836-055C-42B2-8FED-529AF665F52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  <c r="D3" i="1"/>
  <c r="D15" i="1"/>
  <c r="D28" i="1"/>
  <c r="E3" i="1"/>
  <c r="E15" i="1"/>
  <c r="E28" i="1"/>
  <c r="F3" i="1"/>
  <c r="F15" i="1"/>
  <c r="F28" i="1"/>
  <c r="G3" i="1"/>
  <c r="G15" i="1"/>
  <c r="G28" i="1"/>
  <c r="C28" i="1"/>
  <c r="G4" i="1"/>
  <c r="G16" i="1"/>
  <c r="F4" i="1"/>
  <c r="F16" i="1"/>
  <c r="E4" i="1"/>
  <c r="E16" i="1"/>
  <c r="D4" i="1"/>
  <c r="D16" i="1"/>
  <c r="B33" i="1"/>
  <c r="B35" i="1"/>
  <c r="C21" i="1"/>
  <c r="C33" i="1"/>
  <c r="C35" i="1"/>
  <c r="D19" i="1"/>
  <c r="E19" i="1"/>
  <c r="F19" i="1"/>
  <c r="G19" i="1"/>
  <c r="I19" i="1"/>
  <c r="D21" i="1"/>
  <c r="D33" i="1"/>
  <c r="D35" i="1"/>
  <c r="E21" i="1"/>
  <c r="E33" i="1"/>
  <c r="E35" i="1"/>
  <c r="F21" i="1"/>
  <c r="F33" i="1"/>
  <c r="F35" i="1"/>
  <c r="G21" i="1"/>
  <c r="G33" i="1"/>
  <c r="G35" i="1"/>
  <c r="I35" i="1"/>
  <c r="J35" i="1"/>
  <c r="N24" i="1"/>
  <c r="C20" i="1"/>
  <c r="C22" i="1"/>
  <c r="D18" i="1"/>
  <c r="E18" i="1"/>
  <c r="F18" i="1"/>
  <c r="G18" i="1"/>
  <c r="I18" i="1"/>
  <c r="D20" i="1"/>
  <c r="D22" i="1"/>
  <c r="E20" i="1"/>
  <c r="E22" i="1"/>
  <c r="F20" i="1"/>
  <c r="F22" i="1"/>
  <c r="G20" i="1"/>
  <c r="G22" i="1"/>
  <c r="I22" i="1"/>
  <c r="J22" i="1"/>
  <c r="N23" i="1"/>
  <c r="C23" i="1"/>
  <c r="D23" i="1"/>
  <c r="E23" i="1"/>
  <c r="F23" i="1"/>
  <c r="G23" i="1"/>
  <c r="I23" i="1"/>
  <c r="J23" i="1"/>
  <c r="N22" i="1"/>
  <c r="N21" i="1"/>
  <c r="D8" i="1"/>
  <c r="E8" i="1"/>
  <c r="F8" i="1"/>
  <c r="G8" i="1"/>
  <c r="I8" i="1"/>
  <c r="D10" i="1"/>
  <c r="D12" i="1"/>
  <c r="E10" i="1"/>
  <c r="E12" i="1"/>
  <c r="F10" i="1"/>
  <c r="F12" i="1"/>
  <c r="G10" i="1"/>
  <c r="G12" i="1"/>
  <c r="I12" i="1"/>
  <c r="J12" i="1"/>
  <c r="N20" i="1"/>
  <c r="D7" i="1"/>
  <c r="E7" i="1"/>
  <c r="F7" i="1"/>
  <c r="G7" i="1"/>
  <c r="I7" i="1"/>
  <c r="D9" i="1"/>
  <c r="D11" i="1"/>
  <c r="E9" i="1"/>
  <c r="E11" i="1"/>
  <c r="F9" i="1"/>
  <c r="F11" i="1"/>
  <c r="G9" i="1"/>
  <c r="G11" i="1"/>
  <c r="I11" i="1"/>
  <c r="J11" i="1"/>
  <c r="N19" i="1"/>
  <c r="C32" i="1"/>
  <c r="C34" i="1"/>
  <c r="B32" i="1"/>
  <c r="B34" i="1"/>
  <c r="D32" i="1"/>
  <c r="D34" i="1"/>
  <c r="E32" i="1"/>
  <c r="E34" i="1"/>
  <c r="F32" i="1"/>
  <c r="F34" i="1"/>
  <c r="G32" i="1"/>
  <c r="G34" i="1"/>
  <c r="I34" i="1"/>
  <c r="J34" i="1"/>
  <c r="I33" i="1"/>
  <c r="I32" i="1"/>
  <c r="I21" i="1"/>
  <c r="I20" i="1"/>
  <c r="I16" i="1"/>
  <c r="I15" i="1"/>
  <c r="I10" i="1"/>
  <c r="I9" i="1"/>
  <c r="I4" i="1"/>
  <c r="I3" i="1"/>
  <c r="I28" i="1"/>
  <c r="I29" i="1"/>
  <c r="D30" i="1"/>
  <c r="E30" i="1"/>
  <c r="F30" i="1"/>
</calcChain>
</file>

<file path=xl/sharedStrings.xml><?xml version="1.0" encoding="utf-8"?>
<sst xmlns="http://schemas.openxmlformats.org/spreadsheetml/2006/main" count="58" uniqueCount="45">
  <si>
    <t>Total</t>
  </si>
  <si>
    <t>Priority II</t>
  </si>
  <si>
    <t>Priority III</t>
  </si>
  <si>
    <t>Priority IV</t>
  </si>
  <si>
    <t>Priority I because reject</t>
  </si>
  <si>
    <t>Priority I successful claim</t>
  </si>
  <si>
    <t>Cost per QALY Gained</t>
  </si>
  <si>
    <t>Priority I because doesn't come to trial relative to 2008</t>
  </si>
  <si>
    <t>pre-reform total number of writs for protection</t>
  </si>
  <si>
    <t>post-reform total number of writs for protection</t>
  </si>
  <si>
    <t>Estimated cost per QALY for all claim-related expenditure (including on ordinary expenditure because claims were rejected).</t>
  </si>
  <si>
    <t>All claims (incl. rejected)</t>
  </si>
  <si>
    <t>Approved claims</t>
  </si>
  <si>
    <t>QALY gain per individual</t>
  </si>
  <si>
    <t>Total QALY Gain in 2008 by Type</t>
  </si>
  <si>
    <t>Total QALY Gain in 2016 by Type</t>
  </si>
  <si>
    <t>share of claims 2016</t>
  </si>
  <si>
    <t>share of claims 2008</t>
  </si>
  <si>
    <t>Expenditure share pre-reform (2008)</t>
  </si>
  <si>
    <t>Expenditure pre-reform (2008)</t>
  </si>
  <si>
    <t>Expenditure post-reform (2016)</t>
  </si>
  <si>
    <t>Expenditure share post-reform (2016)</t>
  </si>
  <si>
    <t>Total QALY Gain in 2008 by Type for 100 GDPpc expenditure</t>
  </si>
  <si>
    <t>Total QALY Gain in 2016 by Type for 100 GDPpc expenditure</t>
  </si>
  <si>
    <t>cost per QALY</t>
  </si>
  <si>
    <t>Priority I because rejected</t>
  </si>
  <si>
    <t>Expenditure on accepted claims pre-reform (2008)</t>
  </si>
  <si>
    <t>Expenditure on accepted claims post-reform (2016)</t>
  </si>
  <si>
    <t>Expenditure share incl rejected claims pre-reform (2008)</t>
  </si>
  <si>
    <t>Expenditure share incl rejected claims post-reform (2016)</t>
  </si>
  <si>
    <t>Share of claims in 2008 in percent</t>
  </si>
  <si>
    <t>Share of claims in 2016 in percent</t>
  </si>
  <si>
    <t>Expenditure share incl rejected/deterred claims pre-reform (2008)</t>
  </si>
  <si>
    <t>Expenditure share incl rejected/deterred claims post-reform (2016)</t>
  </si>
  <si>
    <t>Accepted pre-reform</t>
  </si>
  <si>
    <t>Accepted post-reform</t>
  </si>
  <si>
    <t>Rejected and accepted pre-reform</t>
  </si>
  <si>
    <t>Rejected and accepted post-reform</t>
  </si>
  <si>
    <t>Deterred, rejected and accepted pre-reform</t>
  </si>
  <si>
    <t>Deterred, rejected and accepted post-reform</t>
  </si>
  <si>
    <t>Data for Table 6</t>
  </si>
  <si>
    <t>cumulative 2016</t>
  </si>
  <si>
    <t>Including rejected claims</t>
  </si>
  <si>
    <t>Deterred, rejected and accepted claims</t>
  </si>
  <si>
    <t>Accepted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</si>
</sst>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0249010751828"/>
          <c:y val="4.7040767948699172E-2"/>
          <c:w val="0.85169750989248172"/>
          <c:h val="0.737171366149063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48-4019-A85B-6EBC6AA67847}"/>
              </c:ext>
            </c:extLst>
          </c:dPt>
          <c:dPt>
            <c:idx val="1"/>
            <c:invertIfNegative val="0"/>
            <c:bubble3D val="0"/>
            <c:spPr>
              <a:solidFill>
                <a:srgbClr val="FF505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48-4019-A85B-6EBC6AA67847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48-4019-A85B-6EBC6AA67847}"/>
              </c:ext>
            </c:extLst>
          </c:dPt>
          <c:dPt>
            <c:idx val="3"/>
            <c:invertIfNegative val="0"/>
            <c:bubble3D val="0"/>
            <c:spPr>
              <a:solidFill>
                <a:srgbClr val="FF505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48-4019-A85B-6EBC6AA67847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48-4019-A85B-6EBC6AA67847}"/>
              </c:ext>
            </c:extLst>
          </c:dPt>
          <c:dPt>
            <c:idx val="5"/>
            <c:invertIfNegative val="0"/>
            <c:bubble3D val="0"/>
            <c:spPr>
              <a:solidFill>
                <a:srgbClr val="FF505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248-4019-A85B-6EBC6AA678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Sheet1!$M$19:$M$24</c:f>
              <c:strCache>
                <c:ptCount val="6"/>
                <c:pt idx="0">
                  <c:v>Accepted pre-reform</c:v>
                </c:pt>
                <c:pt idx="1">
                  <c:v>Accepted post-reform</c:v>
                </c:pt>
                <c:pt idx="2">
                  <c:v>Rejected and accepted pre-reform</c:v>
                </c:pt>
                <c:pt idx="3">
                  <c:v>Rejected and accepted post-reform</c:v>
                </c:pt>
                <c:pt idx="4">
                  <c:v>Deterred, rejected and accepted pre-reform</c:v>
                </c:pt>
                <c:pt idx="5">
                  <c:v>Deterred, rejected and accepted post-reform</c:v>
                </c:pt>
              </c:strCache>
            </c:strRef>
          </c:cat>
          <c:val>
            <c:numRef>
              <c:f>Sheet1!$N$19:$N$24</c:f>
              <c:numCache>
                <c:formatCode>0.0</c:formatCode>
                <c:ptCount val="6"/>
                <c:pt idx="0">
                  <c:v>8.9060045819014881</c:v>
                </c:pt>
                <c:pt idx="1">
                  <c:v>5.9661792154381503</c:v>
                </c:pt>
                <c:pt idx="2">
                  <c:v>1.1025208593099938</c:v>
                </c:pt>
                <c:pt idx="3">
                  <c:v>1.6767540829052843</c:v>
                </c:pt>
                <c:pt idx="4">
                  <c:v>1.1025208593099938</c:v>
                </c:pt>
                <c:pt idx="5">
                  <c:v>0.9700458656720925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48-4019-A85B-6EBC6AA678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3775976"/>
        <c:axId val="343774800"/>
      </c:barChart>
      <c:catAx>
        <c:axId val="34377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3774800"/>
        <c:crosses val="autoZero"/>
        <c:auto val="1"/>
        <c:lblAlgn val="ctr"/>
        <c:lblOffset val="100"/>
        <c:noMultiLvlLbl val="0"/>
      </c:catAx>
      <c:valAx>
        <c:axId val="343774800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377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25</xdr:row>
      <xdr:rowOff>76200</xdr:rowOff>
    </xdr:from>
    <xdr:to>
      <xdr:col>22</xdr:col>
      <xdr:colOff>19050</xdr:colOff>
      <xdr:row>43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C6" sqref="C6"/>
    </sheetView>
  </sheetViews>
  <sheetFormatPr defaultRowHeight="15" x14ac:dyDescent="0.25"/>
  <cols>
    <col min="1" max="1" width="47.28515625" customWidth="1"/>
    <col min="2" max="2" width="12.7109375" customWidth="1"/>
    <col min="3" max="3" width="13.85546875" customWidth="1"/>
    <col min="4" max="4" width="15.28515625" bestFit="1" customWidth="1"/>
    <col min="5" max="5" width="13.85546875" bestFit="1" customWidth="1"/>
    <col min="6" max="7" width="14.85546875" bestFit="1" customWidth="1"/>
    <col min="9" max="9" width="13.7109375" bestFit="1" customWidth="1"/>
    <col min="10" max="10" width="19.7109375" customWidth="1"/>
    <col min="13" max="13" width="43.85546875" customWidth="1"/>
    <col min="15" max="15" width="11.5703125" bestFit="1" customWidth="1"/>
  </cols>
  <sheetData>
    <row r="1" spans="1:15" x14ac:dyDescent="0.25">
      <c r="A1" t="s">
        <v>40</v>
      </c>
      <c r="B1" s="3"/>
      <c r="C1" s="3"/>
      <c r="D1" s="3"/>
      <c r="E1" s="3"/>
      <c r="F1" s="3"/>
      <c r="G1" s="3"/>
      <c r="H1" s="3"/>
      <c r="I1" s="3"/>
      <c r="J1" s="3"/>
    </row>
    <row r="2" spans="1:15" x14ac:dyDescent="0.25">
      <c r="A2" t="s">
        <v>44</v>
      </c>
      <c r="B2" s="3"/>
      <c r="C2" s="3"/>
      <c r="D2" s="3" t="s">
        <v>5</v>
      </c>
      <c r="E2" s="3" t="s">
        <v>1</v>
      </c>
      <c r="F2" s="3" t="s">
        <v>2</v>
      </c>
      <c r="G2" s="3" t="s">
        <v>3</v>
      </c>
      <c r="H2" s="3"/>
      <c r="I2" s="3" t="s">
        <v>0</v>
      </c>
      <c r="J2" s="3" t="s">
        <v>24</v>
      </c>
    </row>
    <row r="3" spans="1:15" x14ac:dyDescent="0.25">
      <c r="A3" t="s">
        <v>17</v>
      </c>
      <c r="B3" s="3"/>
      <c r="C3" s="3"/>
      <c r="D3" s="3">
        <f>100/37</f>
        <v>2.7027027027027026</v>
      </c>
      <c r="E3" s="3">
        <f>1000/37</f>
        <v>27.027027027027028</v>
      </c>
      <c r="F3" s="3">
        <f>1800/37</f>
        <v>48.648648648648646</v>
      </c>
      <c r="G3" s="3">
        <f>800/37</f>
        <v>21.621621621621621</v>
      </c>
      <c r="H3" s="3"/>
      <c r="I3" s="3">
        <f>SUM(D3:G3)</f>
        <v>100</v>
      </c>
      <c r="J3" s="3"/>
    </row>
    <row r="4" spans="1:15" x14ac:dyDescent="0.25">
      <c r="A4" t="s">
        <v>16</v>
      </c>
      <c r="B4" s="3"/>
      <c r="C4" s="3"/>
      <c r="D4" s="3">
        <f>1500/93</f>
        <v>16.129032258064516</v>
      </c>
      <c r="E4" s="3">
        <f>1700/93</f>
        <v>18.27956989247312</v>
      </c>
      <c r="F4" s="3">
        <f>5200/93</f>
        <v>55.913978494623656</v>
      </c>
      <c r="G4" s="3">
        <f>900/93</f>
        <v>9.67741935483871</v>
      </c>
      <c r="H4" s="3"/>
      <c r="I4" s="3">
        <f>SUM(D4:G4)</f>
        <v>99.999999999999986</v>
      </c>
      <c r="J4" s="3"/>
    </row>
    <row r="5" spans="1:15" x14ac:dyDescent="0.25">
      <c r="A5" t="s">
        <v>6</v>
      </c>
      <c r="B5" s="3"/>
      <c r="C5" s="3">
        <v>0.5</v>
      </c>
      <c r="D5" s="3">
        <v>0.31</v>
      </c>
      <c r="E5" s="3">
        <v>2.2599999999999998</v>
      </c>
      <c r="F5" s="3">
        <v>8.1999999999999993</v>
      </c>
      <c r="G5" s="3">
        <v>32.6</v>
      </c>
      <c r="H5" s="3"/>
      <c r="I5" s="3"/>
      <c r="J5" s="3"/>
    </row>
    <row r="6" spans="1:15" x14ac:dyDescent="0.25">
      <c r="A6" t="s">
        <v>13</v>
      </c>
      <c r="B6" s="3"/>
      <c r="C6" s="3"/>
      <c r="D6" s="3">
        <v>2.41</v>
      </c>
      <c r="E6" s="3">
        <v>1.56</v>
      </c>
      <c r="F6" s="3">
        <v>1.1000000000000001</v>
      </c>
      <c r="G6" s="3">
        <v>0.73</v>
      </c>
      <c r="H6" s="3"/>
      <c r="I6" s="3"/>
      <c r="J6" s="3"/>
    </row>
    <row r="7" spans="1:15" x14ac:dyDescent="0.25">
      <c r="A7" t="s">
        <v>19</v>
      </c>
      <c r="B7" s="3"/>
      <c r="C7" s="3"/>
      <c r="D7" s="3">
        <f>D3*D6*D5</f>
        <v>2.0191891891891895</v>
      </c>
      <c r="E7" s="3">
        <f t="shared" ref="E7:G7" si="0">E3*E6*E5</f>
        <v>95.286486486486496</v>
      </c>
      <c r="F7" s="3">
        <f t="shared" si="0"/>
        <v>438.81081081081078</v>
      </c>
      <c r="G7" s="3">
        <f t="shared" si="0"/>
        <v>514.55135135135129</v>
      </c>
      <c r="H7" s="3"/>
      <c r="I7" s="3">
        <f>SUM(D7:G7)</f>
        <v>1050.6678378378379</v>
      </c>
      <c r="J7" s="3"/>
    </row>
    <row r="8" spans="1:15" x14ac:dyDescent="0.25">
      <c r="A8" t="s">
        <v>20</v>
      </c>
      <c r="B8" s="3"/>
      <c r="C8" s="3"/>
      <c r="D8" s="3">
        <f>D4*D6*D5</f>
        <v>12.05</v>
      </c>
      <c r="E8" s="3">
        <f t="shared" ref="E8:G8" si="1">E4*E6*E5</f>
        <v>64.446451612903232</v>
      </c>
      <c r="F8" s="3">
        <f t="shared" si="1"/>
        <v>504.34408602150535</v>
      </c>
      <c r="G8" s="3">
        <f t="shared" si="1"/>
        <v>230.30322580645162</v>
      </c>
      <c r="H8" s="3"/>
      <c r="I8" s="3">
        <f>SUM(D8:G8)</f>
        <v>811.14376344086008</v>
      </c>
      <c r="J8" s="3"/>
    </row>
    <row r="9" spans="1:15" x14ac:dyDescent="0.25">
      <c r="A9" t="s">
        <v>18</v>
      </c>
      <c r="B9" s="3"/>
      <c r="C9" s="3"/>
      <c r="D9" s="3">
        <f>100*D7/$I$7</f>
        <v>0.19218149794557957</v>
      </c>
      <c r="E9" s="3">
        <f t="shared" ref="E9:G9" si="2">100*E7/$I$7</f>
        <v>9.0691351781145126</v>
      </c>
      <c r="F9" s="3">
        <f t="shared" si="2"/>
        <v>41.764941783488545</v>
      </c>
      <c r="G9" s="3">
        <f t="shared" si="2"/>
        <v>48.973741540451357</v>
      </c>
      <c r="H9" s="3"/>
      <c r="I9" s="3">
        <f>SUM(D9:G9)</f>
        <v>100</v>
      </c>
      <c r="J9" s="3"/>
    </row>
    <row r="10" spans="1:15" x14ac:dyDescent="0.25">
      <c r="A10" t="s">
        <v>21</v>
      </c>
      <c r="B10" s="3"/>
      <c r="C10" s="3"/>
      <c r="D10" s="3">
        <f>100*D8/$I$8</f>
        <v>1.4855566353471146</v>
      </c>
      <c r="E10" s="3">
        <f t="shared" ref="E10:G10" si="3">100*E8/$I$8</f>
        <v>7.9451330969398466</v>
      </c>
      <c r="F10" s="3">
        <f t="shared" si="3"/>
        <v>62.176904853719769</v>
      </c>
      <c r="G10" s="3">
        <f t="shared" si="3"/>
        <v>28.392405413993284</v>
      </c>
      <c r="H10" s="3"/>
      <c r="I10" s="3">
        <f>SUM(D10:G10)</f>
        <v>100.00000000000001</v>
      </c>
      <c r="J10" s="3"/>
    </row>
    <row r="11" spans="1:15" x14ac:dyDescent="0.25">
      <c r="A11" t="s">
        <v>22</v>
      </c>
      <c r="B11" s="3"/>
      <c r="C11" s="3"/>
      <c r="D11" s="3">
        <f>D9/D5</f>
        <v>0.61994031595348242</v>
      </c>
      <c r="E11" s="3">
        <f t="shared" ref="E11:G11" si="4">E9/E5</f>
        <v>4.0128916717320857</v>
      </c>
      <c r="F11" s="3">
        <f t="shared" si="4"/>
        <v>5.0932855833522623</v>
      </c>
      <c r="G11" s="3">
        <f t="shared" si="4"/>
        <v>1.5022620104432931</v>
      </c>
      <c r="H11" s="3"/>
      <c r="I11" s="3">
        <f>SUM(C11:G11)</f>
        <v>11.228379581481123</v>
      </c>
      <c r="J11" s="3">
        <f>100/I11</f>
        <v>8.9060045819014881</v>
      </c>
    </row>
    <row r="12" spans="1:15" x14ac:dyDescent="0.25">
      <c r="A12" t="s">
        <v>23</v>
      </c>
      <c r="B12" s="3"/>
      <c r="C12" s="3"/>
      <c r="D12" s="3">
        <f>D10/D5</f>
        <v>4.792118178539079</v>
      </c>
      <c r="E12" s="3">
        <f t="shared" ref="E12:G12" si="5">E10/E5</f>
        <v>3.5155456181149769</v>
      </c>
      <c r="F12" s="3">
        <f t="shared" si="5"/>
        <v>7.5825493724048503</v>
      </c>
      <c r="G12" s="3">
        <f t="shared" si="5"/>
        <v>0.87093268141083691</v>
      </c>
      <c r="H12" s="3"/>
      <c r="I12" s="3">
        <f>SUM(C12:G12)</f>
        <v>16.761145850469745</v>
      </c>
      <c r="J12" s="3">
        <f>100/I12</f>
        <v>5.9661792154381503</v>
      </c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1:15" x14ac:dyDescent="0.25">
      <c r="A14" t="s">
        <v>42</v>
      </c>
      <c r="B14" s="3"/>
      <c r="C14" s="3" t="s">
        <v>25</v>
      </c>
      <c r="D14" s="3" t="s">
        <v>5</v>
      </c>
      <c r="E14" s="3" t="s">
        <v>1</v>
      </c>
      <c r="F14" s="3" t="s">
        <v>2</v>
      </c>
      <c r="G14" s="3" t="s">
        <v>3</v>
      </c>
      <c r="H14" s="3"/>
      <c r="I14" s="3"/>
      <c r="J14" s="3" t="s">
        <v>10</v>
      </c>
      <c r="N14" t="s">
        <v>11</v>
      </c>
      <c r="O14" t="s">
        <v>12</v>
      </c>
    </row>
    <row r="15" spans="1:15" x14ac:dyDescent="0.25">
      <c r="A15" t="s">
        <v>17</v>
      </c>
      <c r="B15" s="3"/>
      <c r="C15" s="3">
        <v>42.1</v>
      </c>
      <c r="D15" s="3">
        <f>D3*(1-$C$15/100)</f>
        <v>1.5648648648648646</v>
      </c>
      <c r="E15" s="3">
        <f t="shared" ref="E15:G15" si="6">E3*(1-$C$15/100)</f>
        <v>15.648648648648647</v>
      </c>
      <c r="F15" s="3">
        <f t="shared" si="6"/>
        <v>28.167567567567563</v>
      </c>
      <c r="G15" s="3">
        <f t="shared" si="6"/>
        <v>12.518918918918917</v>
      </c>
      <c r="H15" s="3"/>
      <c r="I15" s="3">
        <f>SUM(C15:G15)</f>
        <v>99.999999999999986</v>
      </c>
      <c r="J15" s="3"/>
      <c r="N15" s="1"/>
      <c r="O15" s="1"/>
    </row>
    <row r="16" spans="1:15" x14ac:dyDescent="0.25">
      <c r="A16" t="s">
        <v>16</v>
      </c>
      <c r="B16" s="3"/>
      <c r="C16" s="3">
        <v>23.4</v>
      </c>
      <c r="D16" s="3">
        <f>D4*(1-C16/100)</f>
        <v>12.35483870967742</v>
      </c>
      <c r="E16" s="3">
        <f>E4*(1-C16/100)</f>
        <v>14.00215053763441</v>
      </c>
      <c r="F16" s="3">
        <f>F4*(1-C16/100)</f>
        <v>42.830107526881719</v>
      </c>
      <c r="G16" s="3">
        <f>G4*(1-C16/100)</f>
        <v>7.4129032258064518</v>
      </c>
      <c r="H16" s="3"/>
      <c r="I16" s="3">
        <f>SUM(C16:G16)</f>
        <v>99.999999999999986</v>
      </c>
      <c r="J16" s="3"/>
      <c r="N16" s="1"/>
      <c r="O16" s="1"/>
    </row>
    <row r="17" spans="1:15" x14ac:dyDescent="0.25">
      <c r="B17" s="3"/>
      <c r="C17" s="3"/>
      <c r="D17" s="3"/>
      <c r="E17" s="3"/>
      <c r="F17" s="3"/>
      <c r="G17" s="3"/>
      <c r="H17" s="3"/>
      <c r="I17" s="3"/>
      <c r="J17" s="3"/>
      <c r="N17" s="1"/>
      <c r="O17" s="1"/>
    </row>
    <row r="18" spans="1:15" x14ac:dyDescent="0.25">
      <c r="A18" t="s">
        <v>26</v>
      </c>
      <c r="B18" s="3"/>
      <c r="C18" s="3"/>
      <c r="D18" s="3">
        <f>D15*D5*D6</f>
        <v>1.1691105405405404</v>
      </c>
      <c r="E18" s="3">
        <f t="shared" ref="E18:G18" si="7">E15*E5*E6</f>
        <v>55.170875675675667</v>
      </c>
      <c r="F18" s="3">
        <f t="shared" si="7"/>
        <v>254.07145945945942</v>
      </c>
      <c r="G18" s="3">
        <f t="shared" si="7"/>
        <v>297.92523243243238</v>
      </c>
      <c r="H18" s="3"/>
      <c r="I18" s="3">
        <f>SUM(D18:G18)</f>
        <v>608.336678108108</v>
      </c>
      <c r="J18" s="3"/>
      <c r="O18" s="1"/>
    </row>
    <row r="19" spans="1:15" x14ac:dyDescent="0.25">
      <c r="A19" t="s">
        <v>27</v>
      </c>
      <c r="B19" s="3"/>
      <c r="C19" s="3"/>
      <c r="D19" s="3">
        <f>D16*D5*D6</f>
        <v>9.2303000000000015</v>
      </c>
      <c r="E19" s="3">
        <f t="shared" ref="E19:G19" si="8">E16*E5*E6</f>
        <v>49.365981935483873</v>
      </c>
      <c r="F19" s="3">
        <f t="shared" si="8"/>
        <v>386.32756989247315</v>
      </c>
      <c r="G19" s="3">
        <f t="shared" si="8"/>
        <v>176.41227096774196</v>
      </c>
      <c r="H19" s="3"/>
      <c r="I19" s="3">
        <f>SUM(D19:G19)</f>
        <v>621.336122795699</v>
      </c>
      <c r="J19" s="3"/>
      <c r="M19" t="s">
        <v>34</v>
      </c>
      <c r="N19" s="3">
        <f>J11</f>
        <v>8.9060045819014881</v>
      </c>
      <c r="O19" s="1"/>
    </row>
    <row r="20" spans="1:15" x14ac:dyDescent="0.25">
      <c r="A20" t="s">
        <v>28</v>
      </c>
      <c r="B20" s="3"/>
      <c r="C20" s="3">
        <f>C15</f>
        <v>42.1</v>
      </c>
      <c r="D20" s="3">
        <f>(100-$C20)*D18/$I18</f>
        <v>0.11127308731049057</v>
      </c>
      <c r="E20" s="3">
        <f t="shared" ref="E20:G20" si="9">(100-$C20)*E18/$I18</f>
        <v>5.2510292681283026</v>
      </c>
      <c r="F20" s="3">
        <f t="shared" si="9"/>
        <v>24.181901292639868</v>
      </c>
      <c r="G20" s="3">
        <f t="shared" si="9"/>
        <v>28.355796351921335</v>
      </c>
      <c r="H20" s="3"/>
      <c r="I20" s="3">
        <f>SUM(C20:G20)</f>
        <v>100</v>
      </c>
      <c r="J20" s="3"/>
      <c r="M20" t="s">
        <v>35</v>
      </c>
      <c r="N20" s="3">
        <f>J12</f>
        <v>5.9661792154381503</v>
      </c>
      <c r="O20" s="1"/>
    </row>
    <row r="21" spans="1:15" x14ac:dyDescent="0.25">
      <c r="A21" t="s">
        <v>29</v>
      </c>
      <c r="B21" s="3"/>
      <c r="C21" s="3">
        <f>C16</f>
        <v>23.4</v>
      </c>
      <c r="D21" s="3">
        <f>(100-$C21)*D19/$I19</f>
        <v>1.1379363826758897</v>
      </c>
      <c r="E21" s="3">
        <f t="shared" ref="E21:G21" si="10">(100-$C21)*E19/$I19</f>
        <v>6.0859719522559201</v>
      </c>
      <c r="F21" s="3">
        <f t="shared" si="10"/>
        <v>47.627509117949337</v>
      </c>
      <c r="G21" s="3">
        <f t="shared" si="10"/>
        <v>21.748582547118851</v>
      </c>
      <c r="H21" s="3"/>
      <c r="I21" s="3">
        <f>SUM(C21:G21)</f>
        <v>100</v>
      </c>
      <c r="J21" s="3"/>
      <c r="M21" t="s">
        <v>36</v>
      </c>
      <c r="N21" s="3">
        <f>J22</f>
        <v>1.1025208593099938</v>
      </c>
      <c r="O21" s="1"/>
    </row>
    <row r="22" spans="1:15" x14ac:dyDescent="0.25">
      <c r="A22" t="s">
        <v>14</v>
      </c>
      <c r="B22" s="3"/>
      <c r="C22" s="3">
        <f>C20/C5</f>
        <v>84.2</v>
      </c>
      <c r="D22" s="3">
        <f>D20/D5</f>
        <v>0.35894544293706637</v>
      </c>
      <c r="E22" s="3">
        <f t="shared" ref="E22:G22" si="11">E20/E5</f>
        <v>2.3234642779328776</v>
      </c>
      <c r="F22" s="3">
        <f t="shared" si="11"/>
        <v>2.9490123527609597</v>
      </c>
      <c r="G22" s="3">
        <f t="shared" si="11"/>
        <v>0.86980970404666669</v>
      </c>
      <c r="H22" s="3"/>
      <c r="I22" s="3">
        <f>SUM(C22:G22)</f>
        <v>90.701231777677577</v>
      </c>
      <c r="J22" s="3">
        <f>100/I22</f>
        <v>1.1025208593099938</v>
      </c>
      <c r="M22" t="s">
        <v>37</v>
      </c>
      <c r="N22" s="3">
        <f>J23</f>
        <v>1.6767540829052843</v>
      </c>
    </row>
    <row r="23" spans="1:15" x14ac:dyDescent="0.25">
      <c r="A23" t="s">
        <v>15</v>
      </c>
      <c r="B23" s="3"/>
      <c r="C23" s="3">
        <f>C21/C5</f>
        <v>46.8</v>
      </c>
      <c r="D23" s="3">
        <f>D21/D5</f>
        <v>3.6707625247609346</v>
      </c>
      <c r="E23" s="3">
        <f t="shared" ref="E23:G23" si="12">E21/E5</f>
        <v>2.692907943476071</v>
      </c>
      <c r="F23" s="3">
        <f t="shared" si="12"/>
        <v>5.8082328192621144</v>
      </c>
      <c r="G23" s="3">
        <f t="shared" si="12"/>
        <v>0.66713443396070093</v>
      </c>
      <c r="H23" s="3"/>
      <c r="I23" s="3">
        <f>SUM(C23:G23)</f>
        <v>59.639037721459815</v>
      </c>
      <c r="J23" s="3">
        <f>100/I23</f>
        <v>1.6767540829052843</v>
      </c>
      <c r="M23" s="2" t="s">
        <v>38</v>
      </c>
      <c r="N23" s="4">
        <f>J22</f>
        <v>1.1025208593099938</v>
      </c>
    </row>
    <row r="24" spans="1:15" s="2" customFormat="1" x14ac:dyDescent="0.25">
      <c r="A24"/>
      <c r="B24" s="3"/>
      <c r="C24" s="3"/>
      <c r="D24" s="3"/>
      <c r="E24" s="3"/>
      <c r="F24" s="3"/>
      <c r="G24" s="3"/>
      <c r="H24" s="3"/>
      <c r="I24" s="3"/>
      <c r="J24" s="3"/>
      <c r="M24" t="s">
        <v>39</v>
      </c>
      <c r="N24" s="3">
        <f>J35</f>
        <v>0.9700458656720925</v>
      </c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1:15" x14ac:dyDescent="0.25">
      <c r="A27" t="s">
        <v>43</v>
      </c>
      <c r="B27" s="3" t="s">
        <v>7</v>
      </c>
      <c r="C27" s="3" t="s">
        <v>4</v>
      </c>
      <c r="D27" s="3" t="s">
        <v>5</v>
      </c>
      <c r="E27" s="3" t="s">
        <v>1</v>
      </c>
      <c r="F27" s="3" t="s">
        <v>2</v>
      </c>
      <c r="G27" s="3" t="s">
        <v>3</v>
      </c>
      <c r="H27" s="3"/>
      <c r="I27" s="3" t="s">
        <v>0</v>
      </c>
      <c r="J27" s="3"/>
    </row>
    <row r="28" spans="1:15" x14ac:dyDescent="0.25">
      <c r="A28" t="s">
        <v>30</v>
      </c>
      <c r="B28" s="3">
        <v>0</v>
      </c>
      <c r="C28" s="3">
        <f>C15</f>
        <v>42.1</v>
      </c>
      <c r="D28" s="3">
        <f t="shared" ref="D28:G28" si="13">D15</f>
        <v>1.5648648648648646</v>
      </c>
      <c r="E28" s="3">
        <f t="shared" si="13"/>
        <v>15.648648648648647</v>
      </c>
      <c r="F28" s="3">
        <f t="shared" si="13"/>
        <v>28.167567567567563</v>
      </c>
      <c r="G28" s="3">
        <f t="shared" si="13"/>
        <v>12.518918918918917</v>
      </c>
      <c r="H28" s="3"/>
      <c r="I28" s="3">
        <f>SUM(B28:G28)</f>
        <v>99.999999999999986</v>
      </c>
      <c r="J28" s="3"/>
    </row>
    <row r="29" spans="1:15" x14ac:dyDescent="0.25">
      <c r="A29" t="s">
        <v>31</v>
      </c>
      <c r="B29" s="3">
        <f>100*(1-(128/B38)/(192/B37))</f>
        <v>30.955096523465553</v>
      </c>
      <c r="C29" s="3">
        <f>C16*(128/B38)/(192/B37)</f>
        <v>16.156507413509061</v>
      </c>
      <c r="D29" s="3">
        <f>D16*(128/B38)/(192/B37)</f>
        <v>8.5303864617782885</v>
      </c>
      <c r="E29" s="3">
        <f>E16*(128/B38)/(192/B37)</f>
        <v>9.6677713233487275</v>
      </c>
      <c r="F29" s="3">
        <f>F16*(128/B38)/(192/B37)</f>
        <v>29.572006400831398</v>
      </c>
      <c r="G29" s="3">
        <f>G16*(128/B38)/(192/B37)</f>
        <v>5.1182318770669735</v>
      </c>
      <c r="H29" s="3"/>
      <c r="I29" s="3">
        <f>SUM(B29:G29)</f>
        <v>100.00000000000001</v>
      </c>
      <c r="J29" s="3"/>
    </row>
    <row r="30" spans="1:15" x14ac:dyDescent="0.25">
      <c r="A30" t="s">
        <v>41</v>
      </c>
      <c r="B30" s="3"/>
      <c r="C30" s="3"/>
      <c r="D30" s="3">
        <f>B29+C29+D29</f>
        <v>55.64199039875291</v>
      </c>
      <c r="E30" s="3">
        <f>D30+E29</f>
        <v>65.309761722101641</v>
      </c>
      <c r="F30" s="3">
        <f>E30+F29</f>
        <v>94.881768122933039</v>
      </c>
      <c r="G30" s="3"/>
      <c r="H30" s="3"/>
      <c r="I30" s="3"/>
      <c r="J30" s="3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5" x14ac:dyDescent="0.25">
      <c r="A32" t="s">
        <v>32</v>
      </c>
      <c r="B32" s="3">
        <f>B28</f>
        <v>0</v>
      </c>
      <c r="C32" s="3">
        <f t="shared" ref="C32" si="14">C28</f>
        <v>42.1</v>
      </c>
      <c r="D32" s="3">
        <f>D20</f>
        <v>0.11127308731049057</v>
      </c>
      <c r="E32" s="3">
        <f t="shared" ref="E32:G32" si="15">E20</f>
        <v>5.2510292681283026</v>
      </c>
      <c r="F32" s="3">
        <f t="shared" si="15"/>
        <v>24.181901292639868</v>
      </c>
      <c r="G32" s="3">
        <f t="shared" si="15"/>
        <v>28.355796351921335</v>
      </c>
      <c r="H32" s="3"/>
      <c r="I32" s="3">
        <f>SUM(B32:G32)</f>
        <v>100</v>
      </c>
      <c r="J32" s="3"/>
    </row>
    <row r="33" spans="1:10" x14ac:dyDescent="0.25">
      <c r="A33" t="s">
        <v>33</v>
      </c>
      <c r="B33" s="3">
        <f>B29</f>
        <v>30.955096523465553</v>
      </c>
      <c r="C33" s="3">
        <f>C21*(1-$B$29/100)</f>
        <v>16.156507413509061</v>
      </c>
      <c r="D33" s="3">
        <f t="shared" ref="D33:G33" si="16">D21*(1-$B$29/100)</f>
        <v>0.78568707704293572</v>
      </c>
      <c r="E33" s="3">
        <f t="shared" si="16"/>
        <v>4.2020534600440591</v>
      </c>
      <c r="F33" s="3">
        <f t="shared" si="16"/>
        <v>32.884367698765764</v>
      </c>
      <c r="G33" s="3">
        <f t="shared" si="16"/>
        <v>15.016287827172627</v>
      </c>
      <c r="H33" s="3"/>
      <c r="I33" s="3">
        <f>SUM(B33:G33)</f>
        <v>100.00000000000001</v>
      </c>
      <c r="J33" s="3"/>
    </row>
    <row r="34" spans="1:10" x14ac:dyDescent="0.25">
      <c r="A34" t="s">
        <v>14</v>
      </c>
      <c r="B34" s="3">
        <f>B32/D5</f>
        <v>0</v>
      </c>
      <c r="C34" s="3">
        <f>C32/C5</f>
        <v>84.2</v>
      </c>
      <c r="D34" s="3">
        <f>D32/D5</f>
        <v>0.35894544293706637</v>
      </c>
      <c r="E34" s="3">
        <f t="shared" ref="E34:G34" si="17">E32/E5</f>
        <v>2.3234642779328776</v>
      </c>
      <c r="F34" s="3">
        <f t="shared" si="17"/>
        <v>2.9490123527609597</v>
      </c>
      <c r="G34" s="3">
        <f t="shared" si="17"/>
        <v>0.86980970404666669</v>
      </c>
      <c r="H34" s="3"/>
      <c r="I34" s="3">
        <f>SUM(B34:G34)</f>
        <v>90.701231777677577</v>
      </c>
      <c r="J34" s="3">
        <f>100/I34</f>
        <v>1.1025208593099938</v>
      </c>
    </row>
    <row r="35" spans="1:10" x14ac:dyDescent="0.25">
      <c r="A35" t="s">
        <v>15</v>
      </c>
      <c r="B35" s="3">
        <f>B33/C5</f>
        <v>61.910193046931106</v>
      </c>
      <c r="C35" s="3">
        <f>C33/C5</f>
        <v>32.313014827018122</v>
      </c>
      <c r="D35" s="3">
        <f>D33/D5</f>
        <v>2.5344744420739862</v>
      </c>
      <c r="E35" s="3">
        <f t="shared" ref="E35:G35" si="18">E33/E5</f>
        <v>1.8593156902849821</v>
      </c>
      <c r="F35" s="3">
        <f t="shared" si="18"/>
        <v>4.0102887437519232</v>
      </c>
      <c r="G35" s="3">
        <f t="shared" si="18"/>
        <v>0.4606223259868904</v>
      </c>
      <c r="H35" s="3"/>
      <c r="I35" s="3">
        <f>SUM(B35:G35)</f>
        <v>103.08790907604703</v>
      </c>
      <c r="J35" s="3">
        <f>100/I35</f>
        <v>0.9700458656720925</v>
      </c>
    </row>
    <row r="37" spans="1:10" x14ac:dyDescent="0.25">
      <c r="A37" t="s">
        <v>8</v>
      </c>
      <c r="B37">
        <v>16345</v>
      </c>
    </row>
    <row r="38" spans="1:10" x14ac:dyDescent="0.25">
      <c r="A38" t="s">
        <v>9</v>
      </c>
      <c r="B38" s="5">
        <v>15782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School of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A.E.VOORHOEVE</dc:creator>
  <cp:lastModifiedBy>Voorhoeve,AE</cp:lastModifiedBy>
  <dcterms:created xsi:type="dcterms:W3CDTF">2019-06-03T10:44:52Z</dcterms:created>
  <dcterms:modified xsi:type="dcterms:W3CDTF">2019-10-25T11:17:18Z</dcterms:modified>
</cp:coreProperties>
</file>