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15" windowWidth="18180" windowHeight="11700" tabRatio="1000" firstSheet="14" activeTab="21"/>
  </bookViews>
  <sheets>
    <sheet name="Aggregate results %" sheetId="9" r:id="rId1"/>
    <sheet name="Version 1 (GI1) on-site" sheetId="2" r:id="rId2"/>
    <sheet name="Version 1 (GI1) on-line" sheetId="5" r:id="rId3"/>
    <sheet name="Version 2 (GI2) on-site" sheetId="3" r:id="rId4"/>
    <sheet name="Version 2 (GI2) on-line" sheetId="1" r:id="rId5"/>
    <sheet name="Version 3 (GI3) on-site" sheetId="4" r:id="rId6"/>
    <sheet name="Version 3 (GI3) on-line" sheetId="8" r:id="rId7"/>
    <sheet name="V 2(GI2)&amp;3(GI3) on-site average" sheetId="10" r:id="rId8"/>
    <sheet name="Version 4 (LI)" sheetId="11" r:id="rId9"/>
    <sheet name="Version 5 (LE)" sheetId="12" r:id="rId10"/>
    <sheet name="Version 6 (GE)" sheetId="13" r:id="rId11"/>
    <sheet name="consistency measures" sheetId="14" r:id="rId12"/>
    <sheet name="consistency class M&gt;5" sheetId="15" r:id="rId13"/>
    <sheet name="consistency class  6&gt;M&gt;2" sheetId="16" r:id="rId14"/>
    <sheet name="consistency class 3&gt;M" sheetId="17" r:id="rId15"/>
    <sheet name="all gains" sheetId="18" r:id="rId16"/>
    <sheet name="all losses" sheetId="19" r:id="rId17"/>
    <sheet name="Version 3 (GI) students only" sheetId="22" r:id="rId18"/>
    <sheet name="version 4 (LI) students only" sheetId="20" r:id="rId19"/>
    <sheet name="Version 5 (LE) students only" sheetId="21" r:id="rId20"/>
    <sheet name="Version 6 (GE) students only" sheetId="23" r:id="rId21"/>
    <sheet name="Sheet1" sheetId="24" r:id="rId22"/>
  </sheets>
  <definedNames>
    <definedName name="a">#REF!</definedName>
    <definedName name="b">#REF!</definedName>
    <definedName name="d">#REF!</definedName>
    <definedName name="e">#REF!</definedName>
    <definedName name="j">#REF!</definedName>
    <definedName name="k">#REF!</definedName>
    <definedName name="m">#REF!</definedName>
    <definedName name="n">#REF!</definedName>
    <definedName name="u">#REF!</definedName>
    <definedName name="v">#REF!</definedName>
    <definedName name="version_2">'Version 2 (GI2) on-site'!$B$12</definedName>
    <definedName name="version2">'Version 2 (GI2) on-site'!$B$12</definedName>
  </definedNames>
  <calcPr calcId="145621"/>
</workbook>
</file>

<file path=xl/calcChain.xml><?xml version="1.0" encoding="utf-8"?>
<calcChain xmlns="http://schemas.openxmlformats.org/spreadsheetml/2006/main">
  <c r="V145" i="23" l="1"/>
  <c r="V89" i="23"/>
  <c r="V33" i="23"/>
  <c r="BP33" i="21"/>
  <c r="BE33" i="21"/>
  <c r="AR33" i="21"/>
  <c r="AG33" i="21"/>
  <c r="V33" i="21"/>
  <c r="V145" i="15"/>
  <c r="V89" i="15"/>
  <c r="V33" i="15"/>
  <c r="AW67" i="12"/>
  <c r="AW50" i="12"/>
  <c r="AW40" i="12"/>
  <c r="BC31" i="12"/>
  <c r="AW31" i="12"/>
  <c r="BC30" i="12"/>
  <c r="BB30" i="12"/>
  <c r="BC32" i="12" s="1"/>
  <c r="AW30" i="12"/>
  <c r="V761" i="13"/>
  <c r="V705" i="13"/>
  <c r="V649" i="13"/>
  <c r="V593" i="13"/>
  <c r="V537" i="13"/>
  <c r="V481" i="13"/>
  <c r="V425" i="13"/>
  <c r="V369" i="13"/>
  <c r="V313" i="13"/>
  <c r="V257" i="13"/>
  <c r="V201" i="13"/>
  <c r="V145" i="13"/>
  <c r="AR33" i="12"/>
  <c r="V33" i="12"/>
  <c r="AG33" i="12"/>
  <c r="U89" i="13"/>
  <c r="T33" i="13"/>
  <c r="AW41" i="12" l="1"/>
  <c r="AW33" i="12"/>
  <c r="AW69" i="12"/>
  <c r="AW68" i="12"/>
  <c r="AW32" i="12"/>
  <c r="O16" i="21"/>
  <c r="P16" i="21"/>
  <c r="Q16" i="21"/>
  <c r="R16" i="21"/>
  <c r="S16" i="21"/>
  <c r="T16" i="21"/>
  <c r="U16" i="21"/>
  <c r="O17" i="21"/>
  <c r="P17" i="21"/>
  <c r="Q17" i="21"/>
  <c r="R17" i="21"/>
  <c r="S17" i="21"/>
  <c r="T17" i="21"/>
  <c r="U17" i="21"/>
  <c r="O18" i="21"/>
  <c r="P18" i="21"/>
  <c r="Q18" i="21"/>
  <c r="R18" i="21"/>
  <c r="S18" i="21"/>
  <c r="T18" i="21"/>
  <c r="U18" i="21"/>
  <c r="O19" i="21"/>
  <c r="P19" i="21"/>
  <c r="Q19" i="21"/>
  <c r="R19" i="21"/>
  <c r="S19" i="21"/>
  <c r="T19" i="21"/>
  <c r="U19" i="21"/>
  <c r="O20" i="21"/>
  <c r="P20" i="21"/>
  <c r="Q20" i="21"/>
  <c r="R20" i="21"/>
  <c r="S20" i="21"/>
  <c r="T20" i="21"/>
  <c r="U20" i="21"/>
  <c r="O21" i="21"/>
  <c r="P21" i="21"/>
  <c r="Q21" i="21"/>
  <c r="R21" i="21"/>
  <c r="S21" i="21"/>
  <c r="T21" i="21"/>
  <c r="U21" i="21"/>
  <c r="O22" i="21"/>
  <c r="P22" i="21"/>
  <c r="Q22" i="21"/>
  <c r="R22" i="21"/>
  <c r="S22" i="21"/>
  <c r="T22" i="21"/>
  <c r="U22" i="21"/>
  <c r="O23" i="21"/>
  <c r="P23" i="21"/>
  <c r="Q23" i="21"/>
  <c r="R23" i="21"/>
  <c r="S23" i="21"/>
  <c r="T23" i="21"/>
  <c r="U23" i="21"/>
  <c r="N17" i="21"/>
  <c r="N18" i="21"/>
  <c r="N19" i="21"/>
  <c r="N20" i="21"/>
  <c r="N21" i="21"/>
  <c r="N22" i="21"/>
  <c r="N23" i="21"/>
  <c r="N16" i="21"/>
  <c r="O12" i="21"/>
  <c r="P12" i="21"/>
  <c r="Q12" i="21"/>
  <c r="R12" i="21"/>
  <c r="S12" i="21"/>
  <c r="T12" i="21"/>
  <c r="U12" i="21"/>
  <c r="N12" i="21"/>
  <c r="O3" i="21"/>
  <c r="P3" i="21"/>
  <c r="P11" i="21" s="1"/>
  <c r="Q3" i="21"/>
  <c r="R3" i="21"/>
  <c r="S3" i="21"/>
  <c r="T3" i="21"/>
  <c r="T11" i="21" s="1"/>
  <c r="U3" i="21"/>
  <c r="U11" i="21" s="1"/>
  <c r="O4" i="21"/>
  <c r="P4" i="21"/>
  <c r="Q4" i="21"/>
  <c r="R4" i="21"/>
  <c r="S4" i="21"/>
  <c r="T4" i="21"/>
  <c r="U4" i="21"/>
  <c r="O5" i="21"/>
  <c r="O11" i="21" s="1"/>
  <c r="P5" i="21"/>
  <c r="Q5" i="21"/>
  <c r="R5" i="21"/>
  <c r="S5" i="21"/>
  <c r="T5" i="21"/>
  <c r="U5" i="21"/>
  <c r="O6" i="21"/>
  <c r="P6" i="21"/>
  <c r="Q6" i="21"/>
  <c r="R6" i="21"/>
  <c r="S6" i="21"/>
  <c r="T6" i="21"/>
  <c r="U6" i="21"/>
  <c r="O7" i="21"/>
  <c r="P7" i="21"/>
  <c r="Q7" i="21"/>
  <c r="R7" i="21"/>
  <c r="S7" i="21"/>
  <c r="T7" i="21"/>
  <c r="U7" i="21"/>
  <c r="O8" i="21"/>
  <c r="P8" i="21"/>
  <c r="Q8" i="21"/>
  <c r="R8" i="21"/>
  <c r="S8" i="21"/>
  <c r="T8" i="21"/>
  <c r="U8" i="21"/>
  <c r="O9" i="21"/>
  <c r="P9" i="21"/>
  <c r="Q9" i="21"/>
  <c r="R9" i="21"/>
  <c r="S9" i="21"/>
  <c r="T9" i="21"/>
  <c r="U9" i="21"/>
  <c r="O10" i="21"/>
  <c r="P10" i="21"/>
  <c r="Q10" i="21"/>
  <c r="R10" i="21"/>
  <c r="S10" i="21"/>
  <c r="T10" i="21"/>
  <c r="U10" i="21"/>
  <c r="N4" i="21"/>
  <c r="N5" i="21"/>
  <c r="N6" i="21"/>
  <c r="N7" i="21"/>
  <c r="N8" i="21"/>
  <c r="N9" i="21"/>
  <c r="N10" i="21"/>
  <c r="N3" i="21"/>
  <c r="R11" i="21"/>
  <c r="O16" i="23"/>
  <c r="P16" i="23"/>
  <c r="Q16" i="23"/>
  <c r="R16" i="23"/>
  <c r="S16" i="23"/>
  <c r="T16" i="23"/>
  <c r="U16" i="23"/>
  <c r="V16" i="23"/>
  <c r="O17" i="23"/>
  <c r="P17" i="23"/>
  <c r="Q17" i="23"/>
  <c r="R17" i="23"/>
  <c r="S17" i="23"/>
  <c r="T17" i="23"/>
  <c r="U17" i="23"/>
  <c r="V17" i="23"/>
  <c r="O18" i="23"/>
  <c r="P18" i="23"/>
  <c r="Q18" i="23"/>
  <c r="R18" i="23"/>
  <c r="S18" i="23"/>
  <c r="T18" i="23"/>
  <c r="U18" i="23"/>
  <c r="V18" i="23"/>
  <c r="O19" i="23"/>
  <c r="P19" i="23"/>
  <c r="Q19" i="23"/>
  <c r="R19" i="23"/>
  <c r="S19" i="23"/>
  <c r="T19" i="23"/>
  <c r="U19" i="23"/>
  <c r="V19" i="23"/>
  <c r="O20" i="23"/>
  <c r="P20" i="23"/>
  <c r="Q20" i="23"/>
  <c r="R20" i="23"/>
  <c r="S20" i="23"/>
  <c r="T20" i="23"/>
  <c r="U20" i="23"/>
  <c r="V20" i="23"/>
  <c r="O21" i="23"/>
  <c r="P21" i="23"/>
  <c r="Q21" i="23"/>
  <c r="R21" i="23"/>
  <c r="S21" i="23"/>
  <c r="T21" i="23"/>
  <c r="U21" i="23"/>
  <c r="V21" i="23"/>
  <c r="O22" i="23"/>
  <c r="P22" i="23"/>
  <c r="Q22" i="23"/>
  <c r="R22" i="23"/>
  <c r="S22" i="23"/>
  <c r="T22" i="23"/>
  <c r="U22" i="23"/>
  <c r="V22" i="23"/>
  <c r="O23" i="23"/>
  <c r="P23" i="23"/>
  <c r="Q23" i="23"/>
  <c r="R23" i="23"/>
  <c r="S23" i="23"/>
  <c r="T23" i="23"/>
  <c r="U23" i="23"/>
  <c r="V23" i="23"/>
  <c r="O24" i="23"/>
  <c r="P24" i="23"/>
  <c r="Q24" i="23"/>
  <c r="R24" i="23"/>
  <c r="S24" i="23"/>
  <c r="T24" i="23"/>
  <c r="U24" i="23"/>
  <c r="V24" i="23"/>
  <c r="N17" i="23"/>
  <c r="N18" i="23"/>
  <c r="N19" i="23"/>
  <c r="N20" i="23"/>
  <c r="N21" i="23"/>
  <c r="N22" i="23"/>
  <c r="N23" i="23"/>
  <c r="N24" i="23"/>
  <c r="N16" i="23"/>
  <c r="O12" i="23"/>
  <c r="P12" i="23"/>
  <c r="Q12" i="23"/>
  <c r="R12" i="23"/>
  <c r="S12" i="23"/>
  <c r="T12" i="23"/>
  <c r="U12" i="23"/>
  <c r="O11" i="23"/>
  <c r="P11" i="23"/>
  <c r="Q11" i="23"/>
  <c r="R11" i="23"/>
  <c r="S11" i="23"/>
  <c r="T11" i="23"/>
  <c r="U11" i="23"/>
  <c r="N12" i="23"/>
  <c r="O3" i="23"/>
  <c r="V3" i="23" s="1"/>
  <c r="P3" i="23"/>
  <c r="Q3" i="23"/>
  <c r="R3" i="23"/>
  <c r="S3" i="23"/>
  <c r="T3" i="23"/>
  <c r="U3" i="23"/>
  <c r="O4" i="23"/>
  <c r="V4" i="23" s="1"/>
  <c r="P4" i="23"/>
  <c r="Q4" i="23"/>
  <c r="R4" i="23"/>
  <c r="S4" i="23"/>
  <c r="T4" i="23"/>
  <c r="U4" i="23"/>
  <c r="O5" i="23"/>
  <c r="V5" i="23" s="1"/>
  <c r="P5" i="23"/>
  <c r="Q5" i="23"/>
  <c r="R5" i="23"/>
  <c r="S5" i="23"/>
  <c r="T5" i="23"/>
  <c r="U5" i="23"/>
  <c r="O6" i="23"/>
  <c r="P6" i="23"/>
  <c r="Q6" i="23"/>
  <c r="R6" i="23"/>
  <c r="S6" i="23"/>
  <c r="T6" i="23"/>
  <c r="U6" i="23"/>
  <c r="O7" i="23"/>
  <c r="P7" i="23"/>
  <c r="Q7" i="23"/>
  <c r="R7" i="23"/>
  <c r="S7" i="23"/>
  <c r="T7" i="23"/>
  <c r="U7" i="23"/>
  <c r="O8" i="23"/>
  <c r="P8" i="23"/>
  <c r="V8" i="23" s="1"/>
  <c r="Q8" i="23"/>
  <c r="R8" i="23"/>
  <c r="S8" i="23"/>
  <c r="T8" i="23"/>
  <c r="U8" i="23"/>
  <c r="O9" i="23"/>
  <c r="P9" i="23"/>
  <c r="V9" i="23" s="1"/>
  <c r="Q9" i="23"/>
  <c r="R9" i="23"/>
  <c r="S9" i="23"/>
  <c r="T9" i="23"/>
  <c r="U9" i="23"/>
  <c r="O10" i="23"/>
  <c r="P10" i="23"/>
  <c r="V10" i="23" s="1"/>
  <c r="Q10" i="23"/>
  <c r="R10" i="23"/>
  <c r="S10" i="23"/>
  <c r="T10" i="23"/>
  <c r="U10" i="23"/>
  <c r="N4" i="23"/>
  <c r="N11" i="23" s="1"/>
  <c r="N5" i="23"/>
  <c r="N6" i="23"/>
  <c r="N7" i="23"/>
  <c r="N8" i="23"/>
  <c r="N9" i="23"/>
  <c r="N10" i="23"/>
  <c r="N3" i="23"/>
  <c r="V6" i="23"/>
  <c r="AW42" i="12" l="1"/>
  <c r="AW34" i="12"/>
  <c r="AW70" i="12"/>
  <c r="AW51" i="12"/>
  <c r="Q24" i="21"/>
  <c r="S24" i="21"/>
  <c r="P24" i="21"/>
  <c r="S11" i="21"/>
  <c r="U24" i="21"/>
  <c r="O24" i="21"/>
  <c r="Q11" i="21"/>
  <c r="T24" i="21"/>
  <c r="R24" i="21"/>
  <c r="V12" i="23"/>
  <c r="V7" i="23"/>
  <c r="V11" i="23"/>
  <c r="W4" i="23" s="1"/>
  <c r="AW71" i="12" l="1"/>
  <c r="AW43" i="12"/>
  <c r="AW35" i="12"/>
  <c r="AW52" i="12"/>
  <c r="W9" i="23"/>
  <c r="W5" i="23"/>
  <c r="W10" i="23"/>
  <c r="W8" i="23"/>
  <c r="W3" i="23"/>
  <c r="W7" i="23"/>
  <c r="W6" i="23"/>
  <c r="AW44" i="12" l="1"/>
  <c r="AW53" i="12"/>
  <c r="AW36" i="12"/>
  <c r="AW37" i="12"/>
  <c r="AW38" i="12" s="1"/>
  <c r="AW72" i="12"/>
  <c r="BM35" i="21"/>
  <c r="BI31" i="21"/>
  <c r="BI32" i="21"/>
  <c r="BI33" i="21"/>
  <c r="BI34" i="21"/>
  <c r="BJ34" i="21" s="1"/>
  <c r="BI35" i="21"/>
  <c r="BI36" i="21"/>
  <c r="BI37" i="21"/>
  <c r="BI40" i="21"/>
  <c r="BI41" i="21"/>
  <c r="BI42" i="21"/>
  <c r="BI43" i="21"/>
  <c r="BI44" i="21"/>
  <c r="BI45" i="21"/>
  <c r="BI46" i="21"/>
  <c r="BJ46" i="21" s="1"/>
  <c r="BI47" i="21"/>
  <c r="BI50" i="21"/>
  <c r="BI51" i="21"/>
  <c r="BI52" i="21"/>
  <c r="BI53" i="21"/>
  <c r="BI54" i="21"/>
  <c r="BJ54" i="21" s="1"/>
  <c r="BI55" i="21"/>
  <c r="BI56" i="21"/>
  <c r="BI57" i="21"/>
  <c r="BI58" i="21"/>
  <c r="BI59" i="21"/>
  <c r="BI60" i="21"/>
  <c r="BI61" i="21"/>
  <c r="BI62" i="21"/>
  <c r="BJ62" i="21" s="1"/>
  <c r="BI63" i="21"/>
  <c r="BI64" i="21"/>
  <c r="BI67" i="21"/>
  <c r="BI68" i="21"/>
  <c r="BI69" i="21"/>
  <c r="BJ69" i="21" s="1"/>
  <c r="BI70" i="21"/>
  <c r="BJ70" i="21" s="1"/>
  <c r="BI71" i="21"/>
  <c r="BI72" i="21"/>
  <c r="BI73" i="21"/>
  <c r="BI74" i="21"/>
  <c r="BJ74" i="21" s="1"/>
  <c r="BI75" i="21"/>
  <c r="BI76" i="21"/>
  <c r="BI77" i="21"/>
  <c r="BI78" i="21"/>
  <c r="BI79" i="21"/>
  <c r="BI80" i="21"/>
  <c r="BI81" i="21"/>
  <c r="BI30" i="21"/>
  <c r="BH31" i="21"/>
  <c r="BH32" i="21"/>
  <c r="BH33" i="21"/>
  <c r="BJ33" i="21" s="1"/>
  <c r="BH34" i="21"/>
  <c r="BH35" i="21"/>
  <c r="BH36" i="21"/>
  <c r="BH37" i="21"/>
  <c r="BH40" i="21"/>
  <c r="BH41" i="21"/>
  <c r="BJ41" i="21" s="1"/>
  <c r="BH42" i="21"/>
  <c r="BH43" i="21"/>
  <c r="BH44" i="21"/>
  <c r="BH45" i="21"/>
  <c r="BJ45" i="21" s="1"/>
  <c r="BH46" i="21"/>
  <c r="BH47" i="21"/>
  <c r="BH50" i="21"/>
  <c r="BH51" i="21"/>
  <c r="BH52" i="21"/>
  <c r="BJ52" i="21" s="1"/>
  <c r="BH53" i="21"/>
  <c r="BJ53" i="21" s="1"/>
  <c r="BH54" i="21"/>
  <c r="BH55" i="21"/>
  <c r="BH56" i="21"/>
  <c r="BH57" i="21"/>
  <c r="BJ57" i="21" s="1"/>
  <c r="BH58" i="21"/>
  <c r="BH59" i="21"/>
  <c r="BH60" i="21"/>
  <c r="BH61" i="21"/>
  <c r="BJ61" i="21" s="1"/>
  <c r="BH62" i="21"/>
  <c r="BH63" i="21"/>
  <c r="BH64" i="21"/>
  <c r="BJ64" i="21" s="1"/>
  <c r="BH67" i="21"/>
  <c r="BH68" i="21"/>
  <c r="BJ68" i="21" s="1"/>
  <c r="BH69" i="21"/>
  <c r="BH70" i="21"/>
  <c r="BH71" i="21"/>
  <c r="BH72" i="21"/>
  <c r="BH73" i="21"/>
  <c r="BJ73" i="21" s="1"/>
  <c r="BH74" i="21"/>
  <c r="BH75" i="21"/>
  <c r="BJ75" i="21" s="1"/>
  <c r="BH76" i="21"/>
  <c r="BH77" i="21"/>
  <c r="BJ77" i="21" s="1"/>
  <c r="BH78" i="21"/>
  <c r="BH79" i="21"/>
  <c r="BH80" i="21"/>
  <c r="BJ80" i="21" s="1"/>
  <c r="BH81" i="21"/>
  <c r="BJ81" i="21" s="1"/>
  <c r="BH30" i="21"/>
  <c r="BJ79" i="21"/>
  <c r="BJ78" i="21"/>
  <c r="BJ76" i="21"/>
  <c r="BJ72" i="21"/>
  <c r="BJ71" i="21"/>
  <c r="BJ67" i="21"/>
  <c r="BJ63" i="21"/>
  <c r="BJ60" i="21"/>
  <c r="BJ59" i="21"/>
  <c r="BJ58" i="21"/>
  <c r="BJ56" i="21"/>
  <c r="BJ51" i="21"/>
  <c r="BJ50" i="21"/>
  <c r="BJ47" i="21"/>
  <c r="BJ43" i="21"/>
  <c r="BJ42" i="21"/>
  <c r="BJ40" i="21"/>
  <c r="BJ36" i="21"/>
  <c r="BJ35" i="21"/>
  <c r="BJ32" i="21"/>
  <c r="BJ31" i="21"/>
  <c r="BO30" i="21"/>
  <c r="BP32" i="21" s="1"/>
  <c r="BB36" i="21"/>
  <c r="BD30" i="21" s="1"/>
  <c r="BE32" i="21" s="1"/>
  <c r="BB35" i="21"/>
  <c r="AX31" i="21"/>
  <c r="AX32" i="21"/>
  <c r="AX33" i="21"/>
  <c r="AX34" i="21"/>
  <c r="AX35" i="21"/>
  <c r="AX36" i="21"/>
  <c r="AX37" i="21"/>
  <c r="AX40" i="21"/>
  <c r="AX41" i="21"/>
  <c r="AX42" i="21"/>
  <c r="AX43" i="21"/>
  <c r="AX44" i="21"/>
  <c r="AX45" i="21"/>
  <c r="AX46" i="21"/>
  <c r="AX47" i="21"/>
  <c r="AX50" i="21"/>
  <c r="AX51" i="21"/>
  <c r="AX52" i="21"/>
  <c r="AX53" i="21"/>
  <c r="AX54" i="21"/>
  <c r="AX55" i="21"/>
  <c r="AX56" i="21"/>
  <c r="AX57" i="21"/>
  <c r="AX58" i="21"/>
  <c r="AX59" i="21"/>
  <c r="AX60" i="21"/>
  <c r="AX61" i="21"/>
  <c r="AX62" i="21"/>
  <c r="AX63" i="21"/>
  <c r="AX64" i="21"/>
  <c r="AX67" i="21"/>
  <c r="AX68" i="21"/>
  <c r="AX69" i="21"/>
  <c r="AX70" i="21"/>
  <c r="AX71" i="21"/>
  <c r="AX72" i="21"/>
  <c r="AX73" i="21"/>
  <c r="AX74" i="21"/>
  <c r="AX75" i="21"/>
  <c r="AX76" i="21"/>
  <c r="AX77" i="21"/>
  <c r="AX78" i="21"/>
  <c r="AX79" i="21"/>
  <c r="AX80" i="21"/>
  <c r="AX81" i="21"/>
  <c r="AX30" i="21"/>
  <c r="AW31" i="21"/>
  <c r="AW32" i="21"/>
  <c r="AW33" i="21"/>
  <c r="AW34" i="21"/>
  <c r="AW35" i="21"/>
  <c r="AW36" i="21"/>
  <c r="AW37" i="21"/>
  <c r="AW40" i="21"/>
  <c r="AW41" i="21"/>
  <c r="AW42" i="21"/>
  <c r="AW43" i="21"/>
  <c r="AW44" i="21"/>
  <c r="AW45" i="21"/>
  <c r="AW46" i="21"/>
  <c r="AW47" i="21"/>
  <c r="AW50" i="21"/>
  <c r="AW51" i="21"/>
  <c r="AW52" i="21"/>
  <c r="AW53" i="21"/>
  <c r="AW54" i="21"/>
  <c r="AW55" i="21"/>
  <c r="AW56" i="21"/>
  <c r="AW57" i="21"/>
  <c r="AW58" i="21"/>
  <c r="AW59" i="21"/>
  <c r="AW60" i="21"/>
  <c r="AW61" i="21"/>
  <c r="AW62" i="21"/>
  <c r="AW63" i="21"/>
  <c r="AW64" i="21"/>
  <c r="AW67" i="21"/>
  <c r="AW68" i="21"/>
  <c r="AW69" i="21"/>
  <c r="AW70" i="21"/>
  <c r="AW71" i="21"/>
  <c r="AW72" i="21"/>
  <c r="AW73" i="21"/>
  <c r="AW74" i="21"/>
  <c r="AW75" i="21"/>
  <c r="AW76" i="21"/>
  <c r="AW77" i="21"/>
  <c r="AW78" i="21"/>
  <c r="AW79" i="21"/>
  <c r="AW80" i="21"/>
  <c r="AW81" i="21"/>
  <c r="AW30" i="21"/>
  <c r="AQ30" i="21"/>
  <c r="AR32" i="21" s="1"/>
  <c r="Y30" i="21"/>
  <c r="U86" i="21"/>
  <c r="AW54" i="12" l="1"/>
  <c r="AW73" i="12"/>
  <c r="AW45" i="12"/>
  <c r="BP30" i="21"/>
  <c r="BP31" i="21"/>
  <c r="BJ82" i="21"/>
  <c r="BJ48" i="21"/>
  <c r="BJ37" i="21"/>
  <c r="BJ44" i="21"/>
  <c r="BJ55" i="21"/>
  <c r="BJ65" i="21" s="1"/>
  <c r="BJ30" i="21"/>
  <c r="AJ30" i="21"/>
  <c r="AY30" i="21"/>
  <c r="BE30" i="21"/>
  <c r="BE31" i="21"/>
  <c r="AR30" i="21"/>
  <c r="AR31" i="21"/>
  <c r="N123" i="13"/>
  <c r="N124" i="13"/>
  <c r="N125" i="13"/>
  <c r="N126" i="13"/>
  <c r="N127" i="13"/>
  <c r="N87" i="13"/>
  <c r="N198" i="23"/>
  <c r="N199" i="23"/>
  <c r="N200" i="23"/>
  <c r="N201" i="23"/>
  <c r="N202" i="23"/>
  <c r="N86" i="23"/>
  <c r="N120" i="23"/>
  <c r="N119" i="23"/>
  <c r="N118" i="23"/>
  <c r="N117" i="23"/>
  <c r="N116" i="23"/>
  <c r="N115" i="23"/>
  <c r="N114" i="23"/>
  <c r="N113" i="23"/>
  <c r="N112" i="23"/>
  <c r="N111" i="23"/>
  <c r="N110" i="23"/>
  <c r="N109" i="23"/>
  <c r="N108" i="23"/>
  <c r="N107" i="23"/>
  <c r="N106" i="23"/>
  <c r="N103" i="23"/>
  <c r="N102" i="23"/>
  <c r="N101" i="23"/>
  <c r="N100" i="23"/>
  <c r="N99" i="23"/>
  <c r="N98" i="23"/>
  <c r="N97" i="23"/>
  <c r="N96" i="23"/>
  <c r="N93" i="23"/>
  <c r="N92" i="23"/>
  <c r="O428" i="23" s="1"/>
  <c r="N91" i="23"/>
  <c r="N90" i="23"/>
  <c r="N89" i="23"/>
  <c r="N88" i="23"/>
  <c r="N87" i="23"/>
  <c r="N81" i="23"/>
  <c r="N80" i="23"/>
  <c r="N79" i="23"/>
  <c r="N78" i="23"/>
  <c r="N77" i="23"/>
  <c r="N76" i="23"/>
  <c r="N75" i="23"/>
  <c r="N74" i="23"/>
  <c r="N73" i="23"/>
  <c r="N72" i="23"/>
  <c r="N71" i="23"/>
  <c r="N70" i="23"/>
  <c r="N69" i="23"/>
  <c r="N68" i="23"/>
  <c r="N67" i="23"/>
  <c r="N64" i="23"/>
  <c r="N63" i="23"/>
  <c r="N62" i="23"/>
  <c r="N61" i="23"/>
  <c r="N60" i="23"/>
  <c r="N59" i="23"/>
  <c r="N58" i="23"/>
  <c r="N57" i="23"/>
  <c r="N56" i="23"/>
  <c r="N55" i="23"/>
  <c r="N54" i="23"/>
  <c r="N53" i="23"/>
  <c r="N52" i="23"/>
  <c r="N51" i="23"/>
  <c r="N50" i="23"/>
  <c r="N47" i="23"/>
  <c r="N46" i="23"/>
  <c r="N45" i="23"/>
  <c r="N44" i="23"/>
  <c r="N43" i="23"/>
  <c r="N42" i="23"/>
  <c r="N41" i="23"/>
  <c r="N40" i="23"/>
  <c r="N432" i="23" s="1"/>
  <c r="N37" i="23"/>
  <c r="N36" i="23"/>
  <c r="N35" i="23"/>
  <c r="N34" i="23"/>
  <c r="N33" i="23"/>
  <c r="N32" i="23"/>
  <c r="N31" i="23"/>
  <c r="N30" i="23"/>
  <c r="W760" i="23"/>
  <c r="W759" i="23"/>
  <c r="W758" i="23"/>
  <c r="V758" i="23"/>
  <c r="W704" i="23"/>
  <c r="W702" i="23"/>
  <c r="V702" i="23"/>
  <c r="W703" i="23" s="1"/>
  <c r="T651" i="23"/>
  <c r="V646" i="23" s="1"/>
  <c r="W592" i="23"/>
  <c r="W591" i="23"/>
  <c r="W590" i="23"/>
  <c r="V590" i="23"/>
  <c r="W536" i="23"/>
  <c r="W535" i="23"/>
  <c r="V534" i="23"/>
  <c r="W534" i="23" s="1"/>
  <c r="V478" i="23"/>
  <c r="O465" i="23"/>
  <c r="W424" i="23"/>
  <c r="W423" i="23"/>
  <c r="W422" i="23"/>
  <c r="V422" i="23"/>
  <c r="O416" i="23"/>
  <c r="N416" i="23"/>
  <c r="P416" i="23" s="1"/>
  <c r="O409" i="23"/>
  <c r="O405" i="23"/>
  <c r="N397" i="23"/>
  <c r="N393" i="23"/>
  <c r="N388" i="23"/>
  <c r="N386" i="23"/>
  <c r="N377" i="23"/>
  <c r="N370" i="23"/>
  <c r="W368" i="23"/>
  <c r="N368" i="23"/>
  <c r="N367" i="23"/>
  <c r="W366" i="23"/>
  <c r="V366" i="23"/>
  <c r="W367" i="23" s="1"/>
  <c r="N361" i="23"/>
  <c r="N360" i="23"/>
  <c r="N356" i="23"/>
  <c r="N412" i="23" s="1"/>
  <c r="N352" i="23"/>
  <c r="N350" i="23"/>
  <c r="N348" i="23"/>
  <c r="N404" i="23" s="1"/>
  <c r="N343" i="23"/>
  <c r="N341" i="23"/>
  <c r="N338" i="23"/>
  <c r="N337" i="23"/>
  <c r="N334" i="23"/>
  <c r="N333" i="23"/>
  <c r="N389" i="23" s="1"/>
  <c r="N331" i="23"/>
  <c r="N330" i="23"/>
  <c r="N327" i="23"/>
  <c r="N326" i="23"/>
  <c r="N382" i="23" s="1"/>
  <c r="N324" i="23"/>
  <c r="N322" i="23"/>
  <c r="N320" i="23"/>
  <c r="N317" i="23"/>
  <c r="W311" i="23"/>
  <c r="W310" i="23"/>
  <c r="V310" i="23"/>
  <c r="W312" i="23" s="1"/>
  <c r="N305" i="23"/>
  <c r="N304" i="23"/>
  <c r="N303" i="23"/>
  <c r="N302" i="23"/>
  <c r="N358" i="23" s="1"/>
  <c r="N414" i="23" s="1"/>
  <c r="N301" i="23"/>
  <c r="N300" i="23"/>
  <c r="N299" i="23"/>
  <c r="N355" i="23" s="1"/>
  <c r="N411" i="23" s="1"/>
  <c r="N298" i="23"/>
  <c r="N297" i="23"/>
  <c r="N353" i="23" s="1"/>
  <c r="N296" i="23"/>
  <c r="N295" i="23"/>
  <c r="N294" i="23"/>
  <c r="N293" i="23"/>
  <c r="N292" i="23"/>
  <c r="N291" i="23"/>
  <c r="N347" i="23" s="1"/>
  <c r="N403" i="23" s="1"/>
  <c r="N288" i="23"/>
  <c r="N287" i="23"/>
  <c r="N286" i="23"/>
  <c r="N285" i="23"/>
  <c r="N284" i="23"/>
  <c r="N340" i="23" s="1"/>
  <c r="N396" i="23" s="1"/>
  <c r="N283" i="23"/>
  <c r="N282" i="23"/>
  <c r="N281" i="23"/>
  <c r="N280" i="23"/>
  <c r="N279" i="23"/>
  <c r="N278" i="23"/>
  <c r="N277" i="23"/>
  <c r="N276" i="23"/>
  <c r="N332" i="23" s="1"/>
  <c r="N275" i="23"/>
  <c r="N274" i="23"/>
  <c r="N271" i="23"/>
  <c r="N270" i="23"/>
  <c r="N269" i="23"/>
  <c r="N268" i="23"/>
  <c r="N267" i="23"/>
  <c r="N266" i="23"/>
  <c r="N265" i="23"/>
  <c r="N321" i="23" s="1"/>
  <c r="N264" i="23"/>
  <c r="N261" i="23"/>
  <c r="N260" i="23"/>
  <c r="N316" i="23" s="1"/>
  <c r="N259" i="23"/>
  <c r="N258" i="23"/>
  <c r="N314" i="23" s="1"/>
  <c r="N257" i="23"/>
  <c r="N313" i="23" s="1"/>
  <c r="N369" i="23" s="1"/>
  <c r="N256" i="23"/>
  <c r="N312" i="23" s="1"/>
  <c r="N255" i="23"/>
  <c r="N311" i="23" s="1"/>
  <c r="W254" i="23"/>
  <c r="V254" i="23"/>
  <c r="W256" i="23" s="1"/>
  <c r="N254" i="23"/>
  <c r="N249" i="23"/>
  <c r="N248" i="23"/>
  <c r="N247" i="23"/>
  <c r="N246" i="23"/>
  <c r="N245" i="23"/>
  <c r="N244" i="23"/>
  <c r="N243" i="23"/>
  <c r="N242" i="23"/>
  <c r="N241" i="23"/>
  <c r="N240" i="23"/>
  <c r="N239" i="23"/>
  <c r="N238" i="23"/>
  <c r="N237" i="23"/>
  <c r="N236" i="23"/>
  <c r="N235" i="23"/>
  <c r="N232" i="23"/>
  <c r="N231" i="23"/>
  <c r="N230" i="23"/>
  <c r="N229" i="23"/>
  <c r="N228" i="23"/>
  <c r="N227" i="23"/>
  <c r="N226" i="23"/>
  <c r="N225" i="23"/>
  <c r="N224" i="23"/>
  <c r="N223" i="23"/>
  <c r="N222" i="23"/>
  <c r="N221" i="23"/>
  <c r="N220" i="23"/>
  <c r="N219" i="23"/>
  <c r="N218" i="23"/>
  <c r="N215" i="23"/>
  <c r="N214" i="23"/>
  <c r="N213" i="23"/>
  <c r="N212" i="23"/>
  <c r="N211" i="23"/>
  <c r="N210" i="23"/>
  <c r="N209" i="23"/>
  <c r="N208" i="23"/>
  <c r="N205" i="23"/>
  <c r="N204" i="23"/>
  <c r="N203" i="23"/>
  <c r="V198" i="23"/>
  <c r="W144" i="23"/>
  <c r="W142" i="23"/>
  <c r="V142" i="23"/>
  <c r="W143" i="23" s="1"/>
  <c r="N137" i="23"/>
  <c r="N136" i="23"/>
  <c r="N135" i="23"/>
  <c r="N134" i="23"/>
  <c r="N133" i="23"/>
  <c r="O469" i="23" s="1"/>
  <c r="N132" i="23"/>
  <c r="N131" i="23"/>
  <c r="N130" i="23"/>
  <c r="N129" i="23"/>
  <c r="N128" i="23"/>
  <c r="N127" i="23"/>
  <c r="N126" i="23"/>
  <c r="N125" i="23"/>
  <c r="O461" i="23" s="1"/>
  <c r="N124" i="23"/>
  <c r="N123" i="23"/>
  <c r="V86" i="23"/>
  <c r="W87" i="23" s="1"/>
  <c r="K74" i="23"/>
  <c r="K73" i="23"/>
  <c r="K68" i="23"/>
  <c r="K67" i="23"/>
  <c r="I67" i="23"/>
  <c r="J61" i="23"/>
  <c r="K61" i="23" s="1"/>
  <c r="D61" i="23"/>
  <c r="E61" i="23" s="1"/>
  <c r="J60" i="23"/>
  <c r="K60" i="23" s="1"/>
  <c r="D60" i="23"/>
  <c r="E60" i="23" s="1"/>
  <c r="J59" i="23"/>
  <c r="K59" i="23" s="1"/>
  <c r="D59" i="23"/>
  <c r="E59" i="23" s="1"/>
  <c r="K58" i="23"/>
  <c r="J58" i="23"/>
  <c r="H58" i="23"/>
  <c r="I58" i="23" s="1"/>
  <c r="E58" i="23"/>
  <c r="D58" i="23"/>
  <c r="J57" i="23"/>
  <c r="K57" i="23" s="1"/>
  <c r="E57" i="23"/>
  <c r="D57" i="23"/>
  <c r="J56" i="23"/>
  <c r="K56" i="23" s="1"/>
  <c r="E56" i="23"/>
  <c r="D56" i="23"/>
  <c r="J55" i="23"/>
  <c r="K55" i="23" s="1"/>
  <c r="D55" i="23"/>
  <c r="E55" i="23" s="1"/>
  <c r="K52" i="23"/>
  <c r="E52" i="23"/>
  <c r="B52" i="23"/>
  <c r="B61" i="23" s="1"/>
  <c r="K51" i="23"/>
  <c r="H51" i="23"/>
  <c r="E51" i="23"/>
  <c r="B51" i="23"/>
  <c r="B60" i="23" s="1"/>
  <c r="H50" i="23"/>
  <c r="H59" i="23" s="1"/>
  <c r="I59" i="23" s="1"/>
  <c r="E50" i="23"/>
  <c r="B50" i="23"/>
  <c r="B59" i="23" s="1"/>
  <c r="K49" i="23"/>
  <c r="E49" i="23"/>
  <c r="E48" i="23"/>
  <c r="B48" i="23"/>
  <c r="K47" i="23"/>
  <c r="E47" i="23"/>
  <c r="K46" i="23"/>
  <c r="E46" i="23"/>
  <c r="E45" i="23"/>
  <c r="J44" i="23"/>
  <c r="K45" i="23" s="1"/>
  <c r="E44" i="23"/>
  <c r="K42" i="23"/>
  <c r="E42" i="23"/>
  <c r="K39" i="23"/>
  <c r="H39" i="23"/>
  <c r="E39" i="23"/>
  <c r="B39" i="23"/>
  <c r="K38" i="23"/>
  <c r="H38" i="23"/>
  <c r="H73" i="23" s="1"/>
  <c r="I73" i="23" s="1"/>
  <c r="E38" i="23"/>
  <c r="B38" i="23"/>
  <c r="K37" i="23"/>
  <c r="H37" i="23"/>
  <c r="E37" i="23"/>
  <c r="B37" i="23"/>
  <c r="K36" i="23"/>
  <c r="H36" i="23"/>
  <c r="E36" i="23"/>
  <c r="B36" i="23"/>
  <c r="B49" i="23" s="1"/>
  <c r="K35" i="23"/>
  <c r="H35" i="23"/>
  <c r="E35" i="23"/>
  <c r="B35" i="23"/>
  <c r="K34" i="23"/>
  <c r="H34" i="23"/>
  <c r="H42" i="23" s="1"/>
  <c r="E34" i="23"/>
  <c r="B34" i="23"/>
  <c r="K33" i="23"/>
  <c r="H33" i="23"/>
  <c r="H68" i="23" s="1"/>
  <c r="I68" i="23" s="1"/>
  <c r="E33" i="23"/>
  <c r="B33" i="23"/>
  <c r="K32" i="23"/>
  <c r="H32" i="23"/>
  <c r="H67" i="23" s="1"/>
  <c r="E32" i="23"/>
  <c r="B32" i="23"/>
  <c r="B47" i="23" s="1"/>
  <c r="B56" i="23" s="1"/>
  <c r="K31" i="23"/>
  <c r="H31" i="23"/>
  <c r="E31" i="23"/>
  <c r="B31" i="23"/>
  <c r="B46" i="23" s="1"/>
  <c r="B55" i="23" s="1"/>
  <c r="U30" i="23"/>
  <c r="V31" i="23" s="1"/>
  <c r="K30" i="23"/>
  <c r="H30" i="23"/>
  <c r="H45" i="23" s="1"/>
  <c r="E30" i="23"/>
  <c r="B30" i="23"/>
  <c r="B45" i="23" s="1"/>
  <c r="K29" i="23"/>
  <c r="E29" i="23"/>
  <c r="AL17" i="23"/>
  <c r="AM19" i="23" s="1"/>
  <c r="I11" i="23"/>
  <c r="H11" i="23"/>
  <c r="G11" i="23"/>
  <c r="F11" i="23"/>
  <c r="E11" i="23"/>
  <c r="D11" i="23"/>
  <c r="C11" i="23"/>
  <c r="B11" i="23"/>
  <c r="J10" i="23"/>
  <c r="J9" i="23"/>
  <c r="J8" i="23"/>
  <c r="J7" i="23"/>
  <c r="J6" i="23"/>
  <c r="J5" i="23"/>
  <c r="J4" i="23"/>
  <c r="J3" i="23"/>
  <c r="Y67" i="21"/>
  <c r="Y68" i="21" s="1"/>
  <c r="Y50" i="21"/>
  <c r="Y40" i="21"/>
  <c r="Y32" i="21"/>
  <c r="Y31" i="21"/>
  <c r="K61" i="22"/>
  <c r="J61" i="22"/>
  <c r="E61" i="22"/>
  <c r="D61" i="22"/>
  <c r="K60" i="22"/>
  <c r="J60" i="22"/>
  <c r="H60" i="22"/>
  <c r="I60" i="22" s="1"/>
  <c r="E60" i="22"/>
  <c r="D60" i="22"/>
  <c r="K59" i="22"/>
  <c r="J59" i="22"/>
  <c r="E59" i="22"/>
  <c r="D59" i="22"/>
  <c r="K58" i="22"/>
  <c r="J58" i="22"/>
  <c r="H58" i="22"/>
  <c r="I58" i="22" s="1"/>
  <c r="E58" i="22"/>
  <c r="D58" i="22"/>
  <c r="K57" i="22"/>
  <c r="J57" i="22"/>
  <c r="E57" i="22"/>
  <c r="D57" i="22"/>
  <c r="K56" i="22"/>
  <c r="J56" i="22"/>
  <c r="E56" i="22"/>
  <c r="D56" i="22"/>
  <c r="K55" i="22"/>
  <c r="J55" i="22"/>
  <c r="E55" i="22"/>
  <c r="D55" i="22"/>
  <c r="E52" i="22"/>
  <c r="B52" i="22"/>
  <c r="B61" i="22" s="1"/>
  <c r="K51" i="22"/>
  <c r="H51" i="22"/>
  <c r="E51" i="22"/>
  <c r="B51" i="22"/>
  <c r="H50" i="22"/>
  <c r="E50" i="22"/>
  <c r="K49" i="22"/>
  <c r="E49" i="22"/>
  <c r="K48" i="22"/>
  <c r="E48" i="22"/>
  <c r="K47" i="22"/>
  <c r="E47" i="22"/>
  <c r="B47" i="22"/>
  <c r="B56" i="22" s="1"/>
  <c r="K46" i="22"/>
  <c r="E46" i="22"/>
  <c r="K45" i="22"/>
  <c r="H45" i="22"/>
  <c r="E45" i="22"/>
  <c r="K44" i="22"/>
  <c r="J44" i="22"/>
  <c r="K52" i="22" s="1"/>
  <c r="E44" i="22"/>
  <c r="K42" i="22"/>
  <c r="E42" i="22"/>
  <c r="Q39" i="22"/>
  <c r="K39" i="22"/>
  <c r="H39" i="22"/>
  <c r="H52" i="22" s="1"/>
  <c r="E39" i="22"/>
  <c r="B39" i="22"/>
  <c r="T38" i="22"/>
  <c r="Q38" i="22"/>
  <c r="K38" i="22"/>
  <c r="H38" i="22"/>
  <c r="N38" i="22" s="1"/>
  <c r="O38" i="22" s="1"/>
  <c r="E38" i="22"/>
  <c r="B38" i="22"/>
  <c r="K37" i="22"/>
  <c r="H37" i="22"/>
  <c r="E37" i="22"/>
  <c r="B37" i="22"/>
  <c r="K36" i="22"/>
  <c r="H36" i="22"/>
  <c r="E36" i="22"/>
  <c r="B36" i="22"/>
  <c r="B49" i="22" s="1"/>
  <c r="K35" i="22"/>
  <c r="H35" i="22"/>
  <c r="E35" i="22"/>
  <c r="B35" i="22"/>
  <c r="K34" i="22"/>
  <c r="H34" i="22"/>
  <c r="H42" i="22" s="1"/>
  <c r="E34" i="22"/>
  <c r="B34" i="22"/>
  <c r="Q33" i="22"/>
  <c r="K33" i="22"/>
  <c r="H33" i="22"/>
  <c r="E33" i="22"/>
  <c r="B33" i="22"/>
  <c r="Q32" i="22"/>
  <c r="K32" i="22"/>
  <c r="H32" i="22"/>
  <c r="E32" i="22"/>
  <c r="B32" i="22"/>
  <c r="K31" i="22"/>
  <c r="H31" i="22"/>
  <c r="H46" i="22" s="1"/>
  <c r="E31" i="22"/>
  <c r="B31" i="22"/>
  <c r="B46" i="22" s="1"/>
  <c r="B55" i="22" s="1"/>
  <c r="K30" i="22"/>
  <c r="H30" i="22"/>
  <c r="E30" i="22"/>
  <c r="B30" i="22"/>
  <c r="B45" i="22" s="1"/>
  <c r="K29" i="22"/>
  <c r="E29" i="22"/>
  <c r="I11" i="22"/>
  <c r="H11" i="22"/>
  <c r="G11" i="22"/>
  <c r="F11" i="22"/>
  <c r="E11" i="22"/>
  <c r="D11" i="22"/>
  <c r="C11" i="22"/>
  <c r="B11" i="22"/>
  <c r="J10" i="22"/>
  <c r="J9" i="22"/>
  <c r="J8" i="22"/>
  <c r="J7" i="22"/>
  <c r="J6" i="22"/>
  <c r="J5" i="22"/>
  <c r="J4" i="22"/>
  <c r="J3" i="22"/>
  <c r="H34" i="11"/>
  <c r="H34" i="20"/>
  <c r="H42" i="20" s="1"/>
  <c r="H34" i="21"/>
  <c r="H42" i="21" s="1"/>
  <c r="H34" i="12"/>
  <c r="N67" i="21"/>
  <c r="N51" i="21"/>
  <c r="N40" i="21"/>
  <c r="N34" i="21"/>
  <c r="AK34" i="21" s="1"/>
  <c r="N33" i="21"/>
  <c r="AK33" i="21" s="1"/>
  <c r="N32" i="21"/>
  <c r="AK32" i="21" s="1"/>
  <c r="N31" i="21"/>
  <c r="AK31" i="21" s="1"/>
  <c r="N30" i="21"/>
  <c r="AK30" i="21" s="1"/>
  <c r="AL30" i="21" s="1"/>
  <c r="K74" i="21"/>
  <c r="K73" i="21"/>
  <c r="K68" i="21"/>
  <c r="K67" i="21"/>
  <c r="K61" i="21"/>
  <c r="J61" i="21"/>
  <c r="E61" i="21"/>
  <c r="D61" i="21"/>
  <c r="K60" i="21"/>
  <c r="J60" i="21"/>
  <c r="E60" i="21"/>
  <c r="D60" i="21"/>
  <c r="K59" i="21"/>
  <c r="J59" i="21"/>
  <c r="I59" i="21"/>
  <c r="E59" i="21"/>
  <c r="D59" i="21"/>
  <c r="K58" i="21"/>
  <c r="J58" i="21"/>
  <c r="I58" i="21"/>
  <c r="H58" i="21"/>
  <c r="E58" i="21"/>
  <c r="D58" i="21"/>
  <c r="K57" i="21"/>
  <c r="J57" i="21"/>
  <c r="E57" i="21"/>
  <c r="D57" i="21"/>
  <c r="K56" i="21"/>
  <c r="J56" i="21"/>
  <c r="E56" i="21"/>
  <c r="D56" i="21"/>
  <c r="K55" i="21"/>
  <c r="J55" i="21"/>
  <c r="E55" i="21"/>
  <c r="D55" i="21"/>
  <c r="E52" i="21"/>
  <c r="B52" i="21"/>
  <c r="H51" i="21"/>
  <c r="H60" i="21" s="1"/>
  <c r="I60" i="21" s="1"/>
  <c r="E51" i="21"/>
  <c r="B51" i="21"/>
  <c r="N50" i="21"/>
  <c r="H50" i="21"/>
  <c r="H59" i="21" s="1"/>
  <c r="E50" i="21"/>
  <c r="B50" i="21"/>
  <c r="B59" i="21" s="1"/>
  <c r="E49" i="21"/>
  <c r="E48" i="21"/>
  <c r="B48" i="21"/>
  <c r="E47" i="21"/>
  <c r="E46" i="21"/>
  <c r="E45" i="21"/>
  <c r="K44" i="21"/>
  <c r="J44" i="21"/>
  <c r="E44" i="21"/>
  <c r="K42" i="21"/>
  <c r="E42" i="21"/>
  <c r="K39" i="21"/>
  <c r="H39" i="21"/>
  <c r="E39" i="21"/>
  <c r="B39" i="21"/>
  <c r="K38" i="21"/>
  <c r="H38" i="21"/>
  <c r="H73" i="21" s="1"/>
  <c r="I73" i="21" s="1"/>
  <c r="E38" i="21"/>
  <c r="B38" i="21"/>
  <c r="K37" i="21"/>
  <c r="H37" i="21"/>
  <c r="E37" i="21"/>
  <c r="B37" i="21"/>
  <c r="K36" i="21"/>
  <c r="H36" i="21"/>
  <c r="E36" i="21"/>
  <c r="B36" i="21"/>
  <c r="B49" i="21" s="1"/>
  <c r="B58" i="21" s="1"/>
  <c r="K35" i="21"/>
  <c r="H35" i="21"/>
  <c r="E35" i="21"/>
  <c r="B35" i="21"/>
  <c r="K34" i="21"/>
  <c r="E34" i="21"/>
  <c r="B34" i="21"/>
  <c r="B42" i="21" s="1"/>
  <c r="K33" i="21"/>
  <c r="H33" i="21"/>
  <c r="H68" i="21" s="1"/>
  <c r="I68" i="21" s="1"/>
  <c r="E33" i="21"/>
  <c r="B33" i="21"/>
  <c r="K32" i="21"/>
  <c r="H32" i="21"/>
  <c r="H47" i="21" s="1"/>
  <c r="H56" i="21" s="1"/>
  <c r="I56" i="21" s="1"/>
  <c r="E32" i="21"/>
  <c r="B32" i="21"/>
  <c r="B47" i="21" s="1"/>
  <c r="K31" i="21"/>
  <c r="H31" i="21"/>
  <c r="E31" i="21"/>
  <c r="B31" i="21"/>
  <c r="B46" i="21" s="1"/>
  <c r="B55" i="21" s="1"/>
  <c r="AG30" i="21"/>
  <c r="AF30" i="21"/>
  <c r="AG32" i="21" s="1"/>
  <c r="U30" i="21"/>
  <c r="V31" i="21" s="1"/>
  <c r="K30" i="21"/>
  <c r="H30" i="21"/>
  <c r="E30" i="21"/>
  <c r="B30" i="21"/>
  <c r="B45" i="21" s="1"/>
  <c r="K29" i="21"/>
  <c r="E29" i="21"/>
  <c r="AL17" i="21"/>
  <c r="AM19" i="21" s="1"/>
  <c r="I11" i="21"/>
  <c r="H11" i="21"/>
  <c r="G11" i="21"/>
  <c r="F11" i="21"/>
  <c r="F12" i="21" s="1"/>
  <c r="E11" i="21"/>
  <c r="D11" i="21"/>
  <c r="C11" i="21"/>
  <c r="B11" i="21"/>
  <c r="J10" i="21"/>
  <c r="J9" i="21"/>
  <c r="J8" i="21"/>
  <c r="J7" i="21"/>
  <c r="J6" i="21"/>
  <c r="K6" i="21" s="1"/>
  <c r="J5" i="21"/>
  <c r="J4" i="21"/>
  <c r="K4" i="21" s="1"/>
  <c r="J3" i="21"/>
  <c r="J11" i="21" s="1"/>
  <c r="H23" i="21" s="1"/>
  <c r="B11" i="20"/>
  <c r="C11" i="20"/>
  <c r="D11" i="20"/>
  <c r="E11" i="20"/>
  <c r="F11" i="20"/>
  <c r="G11" i="20"/>
  <c r="H11" i="20"/>
  <c r="I11" i="20"/>
  <c r="K61" i="20"/>
  <c r="J61" i="20"/>
  <c r="E61" i="20"/>
  <c r="D61" i="20"/>
  <c r="K60" i="20"/>
  <c r="J60" i="20"/>
  <c r="E60" i="20"/>
  <c r="D60" i="20"/>
  <c r="K59" i="20"/>
  <c r="J59" i="20"/>
  <c r="E59" i="20"/>
  <c r="D59" i="20"/>
  <c r="K58" i="20"/>
  <c r="J58" i="20"/>
  <c r="I58" i="20"/>
  <c r="H58" i="20"/>
  <c r="E58" i="20"/>
  <c r="D58" i="20"/>
  <c r="K57" i="20"/>
  <c r="J57" i="20"/>
  <c r="E57" i="20"/>
  <c r="D57" i="20"/>
  <c r="K56" i="20"/>
  <c r="J56" i="20"/>
  <c r="E56" i="20"/>
  <c r="D56" i="20"/>
  <c r="K55" i="20"/>
  <c r="J55" i="20"/>
  <c r="E55" i="20"/>
  <c r="D55" i="20"/>
  <c r="E52" i="20"/>
  <c r="B52" i="20"/>
  <c r="H51" i="20"/>
  <c r="H60" i="20" s="1"/>
  <c r="I60" i="20" s="1"/>
  <c r="E51" i="20"/>
  <c r="B51" i="20"/>
  <c r="H50" i="20"/>
  <c r="H59" i="20" s="1"/>
  <c r="I59" i="20" s="1"/>
  <c r="E50" i="20"/>
  <c r="E49" i="20"/>
  <c r="K48" i="20"/>
  <c r="E48" i="20"/>
  <c r="K47" i="20"/>
  <c r="E47" i="20"/>
  <c r="K46" i="20"/>
  <c r="E46" i="20"/>
  <c r="K45" i="20"/>
  <c r="E45" i="20"/>
  <c r="K44" i="20"/>
  <c r="J44" i="20"/>
  <c r="K52" i="20" s="1"/>
  <c r="E44" i="20"/>
  <c r="K42" i="20"/>
  <c r="E42" i="20"/>
  <c r="Q39" i="20"/>
  <c r="K39" i="20"/>
  <c r="H39" i="20"/>
  <c r="E39" i="20"/>
  <c r="B39" i="20"/>
  <c r="Q38" i="20"/>
  <c r="K38" i="20"/>
  <c r="H38" i="20"/>
  <c r="E38" i="20"/>
  <c r="B38" i="20"/>
  <c r="K37" i="20"/>
  <c r="H37" i="20"/>
  <c r="E37" i="20"/>
  <c r="B37" i="20"/>
  <c r="B50" i="20" s="1"/>
  <c r="K36" i="20"/>
  <c r="H36" i="20"/>
  <c r="E36" i="20"/>
  <c r="B36" i="20"/>
  <c r="K35" i="20"/>
  <c r="H35" i="20"/>
  <c r="E35" i="20"/>
  <c r="B35" i="20"/>
  <c r="K34" i="20"/>
  <c r="E34" i="20"/>
  <c r="B34" i="20"/>
  <c r="Q33" i="20"/>
  <c r="K33" i="20"/>
  <c r="H33" i="20"/>
  <c r="H48" i="20" s="1"/>
  <c r="E33" i="20"/>
  <c r="B33" i="20"/>
  <c r="B48" i="20" s="1"/>
  <c r="B57" i="20" s="1"/>
  <c r="Q32" i="20"/>
  <c r="K32" i="20"/>
  <c r="H32" i="20"/>
  <c r="E32" i="20"/>
  <c r="B32" i="20"/>
  <c r="K31" i="20"/>
  <c r="H31" i="20"/>
  <c r="H46" i="20" s="1"/>
  <c r="E31" i="20"/>
  <c r="B31" i="20"/>
  <c r="K30" i="20"/>
  <c r="H30" i="20"/>
  <c r="H45" i="20" s="1"/>
  <c r="E30" i="20"/>
  <c r="B30" i="20"/>
  <c r="K29" i="20"/>
  <c r="E29" i="20"/>
  <c r="J10" i="20"/>
  <c r="J9" i="20"/>
  <c r="J8" i="20"/>
  <c r="J7" i="20"/>
  <c r="J6" i="20"/>
  <c r="J5" i="20"/>
  <c r="J4" i="20"/>
  <c r="J3" i="20"/>
  <c r="AW74" i="12" l="1"/>
  <c r="AW47" i="12"/>
  <c r="AW46" i="12"/>
  <c r="AW55" i="12"/>
  <c r="BJ38" i="21"/>
  <c r="AJ32" i="21"/>
  <c r="AL32" i="21" s="1"/>
  <c r="Y33" i="21"/>
  <c r="AY67" i="21"/>
  <c r="AK67" i="21"/>
  <c r="N68" i="21"/>
  <c r="AK50" i="21"/>
  <c r="AJ67" i="21"/>
  <c r="AL67" i="21" s="1"/>
  <c r="AK40" i="21"/>
  <c r="AK51" i="21"/>
  <c r="AJ40" i="21"/>
  <c r="AJ50" i="21"/>
  <c r="AJ68" i="21"/>
  <c r="N35" i="21"/>
  <c r="N41" i="21"/>
  <c r="N52" i="21"/>
  <c r="AJ31" i="21"/>
  <c r="AL31" i="21" s="1"/>
  <c r="Y41" i="21"/>
  <c r="Y51" i="21"/>
  <c r="Y69" i="21"/>
  <c r="W86" i="23"/>
  <c r="O372" i="23"/>
  <c r="B42" i="23"/>
  <c r="H52" i="23"/>
  <c r="H74" i="23"/>
  <c r="I74" i="23" s="1"/>
  <c r="H60" i="23"/>
  <c r="I60" i="23" s="1"/>
  <c r="N339" i="23"/>
  <c r="N387" i="23"/>
  <c r="N408" i="23"/>
  <c r="J11" i="23"/>
  <c r="G12" i="23" s="1"/>
  <c r="H46" i="23"/>
  <c r="V32" i="23"/>
  <c r="B57" i="23"/>
  <c r="O422" i="23"/>
  <c r="N590" i="23" s="1"/>
  <c r="O366" i="23"/>
  <c r="O424" i="23"/>
  <c r="N592" i="23" s="1"/>
  <c r="O368" i="23"/>
  <c r="P368" i="23" s="1"/>
  <c r="O404" i="23"/>
  <c r="P404" i="23" s="1"/>
  <c r="O460" i="23"/>
  <c r="O468" i="23"/>
  <c r="O412" i="23"/>
  <c r="N323" i="23"/>
  <c r="N359" i="23"/>
  <c r="N417" i="23"/>
  <c r="V30" i="23"/>
  <c r="N481" i="23"/>
  <c r="O257" i="23"/>
  <c r="P257" i="23" s="1"/>
  <c r="N425" i="23"/>
  <c r="O377" i="23"/>
  <c r="P377" i="23" s="1"/>
  <c r="O433" i="23"/>
  <c r="O442" i="23"/>
  <c r="W255" i="23"/>
  <c r="N344" i="23"/>
  <c r="N376" i="23"/>
  <c r="N380" i="23"/>
  <c r="N390" i="23"/>
  <c r="N399" i="23"/>
  <c r="O386" i="23"/>
  <c r="P386" i="23" s="1"/>
  <c r="N409" i="23"/>
  <c r="P409" i="23" s="1"/>
  <c r="K10" i="23"/>
  <c r="AM18" i="23"/>
  <c r="N478" i="23"/>
  <c r="N422" i="23"/>
  <c r="O254" i="23"/>
  <c r="P254" i="23" s="1"/>
  <c r="H48" i="23"/>
  <c r="N596" i="23"/>
  <c r="N428" i="23"/>
  <c r="N484" i="23"/>
  <c r="O260" i="23"/>
  <c r="P260" i="23" s="1"/>
  <c r="O423" i="23"/>
  <c r="O367" i="23"/>
  <c r="P367" i="23" s="1"/>
  <c r="N342" i="23"/>
  <c r="N383" i="23"/>
  <c r="P370" i="23"/>
  <c r="AM17" i="23"/>
  <c r="K4" i="23"/>
  <c r="N591" i="23"/>
  <c r="N423" i="23"/>
  <c r="O255" i="23"/>
  <c r="P255" i="23" s="1"/>
  <c r="N479" i="23"/>
  <c r="N429" i="23"/>
  <c r="O261" i="23"/>
  <c r="P261" i="23" s="1"/>
  <c r="N485" i="23"/>
  <c r="B58" i="23"/>
  <c r="O427" i="23"/>
  <c r="O371" i="23"/>
  <c r="O408" i="23"/>
  <c r="O464" i="23"/>
  <c r="O472" i="23"/>
  <c r="N357" i="23"/>
  <c r="N315" i="23"/>
  <c r="W646" i="23"/>
  <c r="W647" i="23"/>
  <c r="W648" i="23"/>
  <c r="N480" i="23"/>
  <c r="N424" i="23"/>
  <c r="O256" i="23"/>
  <c r="P256" i="23" s="1"/>
  <c r="N426" i="23"/>
  <c r="N482" i="23"/>
  <c r="O258" i="23"/>
  <c r="P258" i="23" s="1"/>
  <c r="N488" i="23"/>
  <c r="O264" i="23"/>
  <c r="N610" i="23"/>
  <c r="N498" i="23"/>
  <c r="N442" i="23"/>
  <c r="O274" i="23"/>
  <c r="P274" i="23" s="1"/>
  <c r="N515" i="23"/>
  <c r="N627" i="23"/>
  <c r="N459" i="23"/>
  <c r="W88" i="23"/>
  <c r="O370" i="23"/>
  <c r="O426" i="23"/>
  <c r="N594" i="23" s="1"/>
  <c r="N372" i="23"/>
  <c r="P264" i="23"/>
  <c r="N336" i="23"/>
  <c r="P403" i="23"/>
  <c r="N351" i="23"/>
  <c r="N406" i="23"/>
  <c r="N595" i="23"/>
  <c r="N483" i="23"/>
  <c r="O259" i="23"/>
  <c r="P259" i="23" s="1"/>
  <c r="K50" i="23"/>
  <c r="K48" i="23"/>
  <c r="K44" i="23"/>
  <c r="H47" i="23"/>
  <c r="N628" i="23"/>
  <c r="N516" i="23"/>
  <c r="N460" i="23"/>
  <c r="O292" i="23"/>
  <c r="P292" i="23" s="1"/>
  <c r="O369" i="23"/>
  <c r="P369" i="23" s="1"/>
  <c r="O425" i="23"/>
  <c r="O403" i="23"/>
  <c r="O459" i="23"/>
  <c r="O407" i="23"/>
  <c r="O463" i="23"/>
  <c r="O411" i="23"/>
  <c r="P411" i="23" s="1"/>
  <c r="O415" i="23"/>
  <c r="O471" i="23"/>
  <c r="W200" i="23"/>
  <c r="W199" i="23"/>
  <c r="W198" i="23"/>
  <c r="N310" i="23"/>
  <c r="N325" i="23"/>
  <c r="O291" i="23"/>
  <c r="P291" i="23" s="1"/>
  <c r="N349" i="23"/>
  <c r="N373" i="23"/>
  <c r="P373" i="23" s="1"/>
  <c r="N378" i="23"/>
  <c r="N394" i="23"/>
  <c r="N354" i="23"/>
  <c r="N427" i="23"/>
  <c r="O467" i="23"/>
  <c r="O429" i="23"/>
  <c r="O373" i="23"/>
  <c r="O432" i="23"/>
  <c r="N768" i="23" s="1"/>
  <c r="O376" i="23"/>
  <c r="O462" i="23"/>
  <c r="O406" i="23"/>
  <c r="O466" i="23"/>
  <c r="O410" i="23"/>
  <c r="O470" i="23"/>
  <c r="N335" i="23"/>
  <c r="P412" i="23"/>
  <c r="O414" i="23"/>
  <c r="P414" i="23" s="1"/>
  <c r="O413" i="23"/>
  <c r="O417" i="23"/>
  <c r="O473" i="23"/>
  <c r="W480" i="23"/>
  <c r="W479" i="23"/>
  <c r="W478" i="23"/>
  <c r="AM18" i="21"/>
  <c r="AM17" i="21"/>
  <c r="T39" i="22"/>
  <c r="J11" i="22"/>
  <c r="N39" i="22"/>
  <c r="O39" i="22" s="1"/>
  <c r="I12" i="22"/>
  <c r="B42" i="22"/>
  <c r="B58" i="22"/>
  <c r="B29" i="22"/>
  <c r="C38" i="22" s="1"/>
  <c r="H23" i="22"/>
  <c r="D22" i="22"/>
  <c r="H21" i="22"/>
  <c r="D20" i="22"/>
  <c r="I19" i="22"/>
  <c r="B18" i="22"/>
  <c r="H17" i="22"/>
  <c r="B16" i="22"/>
  <c r="H29" i="22"/>
  <c r="I30" i="22" s="1"/>
  <c r="G22" i="22"/>
  <c r="C22" i="22"/>
  <c r="G21" i="22"/>
  <c r="G20" i="22"/>
  <c r="C20" i="22"/>
  <c r="H19" i="22"/>
  <c r="I18" i="22"/>
  <c r="E18" i="22"/>
  <c r="G17" i="22"/>
  <c r="I23" i="22"/>
  <c r="I22" i="22"/>
  <c r="I21" i="22"/>
  <c r="B19" i="22"/>
  <c r="C18" i="22"/>
  <c r="E17" i="22"/>
  <c r="D12" i="22"/>
  <c r="E22" i="22"/>
  <c r="E20" i="22"/>
  <c r="C16" i="22"/>
  <c r="B23" i="22"/>
  <c r="B21" i="22"/>
  <c r="F23" i="22"/>
  <c r="F22" i="22"/>
  <c r="F21" i="22"/>
  <c r="G19" i="22"/>
  <c r="H18" i="22"/>
  <c r="B17" i="22"/>
  <c r="D16" i="22"/>
  <c r="H12" i="22"/>
  <c r="E23" i="22"/>
  <c r="F19" i="22"/>
  <c r="I17" i="22"/>
  <c r="H16" i="22"/>
  <c r="B20" i="22"/>
  <c r="D18" i="22"/>
  <c r="F17" i="22"/>
  <c r="B12" i="22"/>
  <c r="F12" i="22"/>
  <c r="K6" i="22"/>
  <c r="C30" i="22"/>
  <c r="N33" i="22"/>
  <c r="O33" i="22" s="1"/>
  <c r="H48" i="22"/>
  <c r="H47" i="22"/>
  <c r="B60" i="22"/>
  <c r="K3" i="22"/>
  <c r="G12" i="22"/>
  <c r="C35" i="22"/>
  <c r="H55" i="22"/>
  <c r="I55" i="22" s="1"/>
  <c r="H59" i="22"/>
  <c r="I59" i="22" s="1"/>
  <c r="H61" i="22"/>
  <c r="I61" i="22" s="1"/>
  <c r="I39" i="22"/>
  <c r="C37" i="22"/>
  <c r="C32" i="22"/>
  <c r="N32" i="22"/>
  <c r="O32" i="22" s="1"/>
  <c r="B48" i="22"/>
  <c r="B50" i="22"/>
  <c r="K50" i="22"/>
  <c r="V30" i="21"/>
  <c r="V32" i="21"/>
  <c r="K8" i="21"/>
  <c r="F19" i="21"/>
  <c r="D12" i="21"/>
  <c r="H12" i="21"/>
  <c r="G16" i="21"/>
  <c r="E18" i="21"/>
  <c r="C20" i="21"/>
  <c r="H22" i="21"/>
  <c r="E21" i="21"/>
  <c r="C12" i="21"/>
  <c r="B16" i="21"/>
  <c r="C22" i="21"/>
  <c r="K10" i="21"/>
  <c r="E12" i="21"/>
  <c r="I12" i="21"/>
  <c r="E17" i="21"/>
  <c r="H20" i="21"/>
  <c r="E23" i="21"/>
  <c r="H67" i="21"/>
  <c r="I67" i="21" s="1"/>
  <c r="O50" i="21"/>
  <c r="P50" i="21" s="1"/>
  <c r="I30" i="21"/>
  <c r="B12" i="21"/>
  <c r="C16" i="21"/>
  <c r="F18" i="21"/>
  <c r="B19" i="21"/>
  <c r="I20" i="21"/>
  <c r="G21" i="21"/>
  <c r="I22" i="21"/>
  <c r="B29" i="21"/>
  <c r="C36" i="21" s="1"/>
  <c r="H45" i="21"/>
  <c r="K3" i="21"/>
  <c r="K5" i="21"/>
  <c r="K7" i="21"/>
  <c r="K9" i="21"/>
  <c r="E16" i="21"/>
  <c r="C17" i="21"/>
  <c r="H17" i="21"/>
  <c r="B18" i="21"/>
  <c r="G18" i="21"/>
  <c r="D19" i="21"/>
  <c r="I19" i="21"/>
  <c r="E20" i="21"/>
  <c r="C21" i="21"/>
  <c r="H21" i="21"/>
  <c r="E22" i="21"/>
  <c r="C23" i="21"/>
  <c r="C39" i="21"/>
  <c r="K51" i="21"/>
  <c r="K49" i="21"/>
  <c r="K48" i="21"/>
  <c r="K52" i="21"/>
  <c r="K45" i="21"/>
  <c r="K47" i="21"/>
  <c r="K46" i="21"/>
  <c r="K50" i="21"/>
  <c r="B56" i="21"/>
  <c r="H74" i="21"/>
  <c r="I74" i="21" s="1"/>
  <c r="H52" i="21"/>
  <c r="B57" i="21"/>
  <c r="H29" i="21"/>
  <c r="F23" i="21"/>
  <c r="B23" i="21"/>
  <c r="F22" i="21"/>
  <c r="B22" i="21"/>
  <c r="F21" i="21"/>
  <c r="B21" i="21"/>
  <c r="F20" i="21"/>
  <c r="B20" i="21"/>
  <c r="G19" i="21"/>
  <c r="C19" i="21"/>
  <c r="H18" i="21"/>
  <c r="D18" i="21"/>
  <c r="F17" i="21"/>
  <c r="B17" i="21"/>
  <c r="H16" i="21"/>
  <c r="D16" i="21"/>
  <c r="G12" i="21"/>
  <c r="I16" i="21"/>
  <c r="G17" i="21"/>
  <c r="H19" i="21"/>
  <c r="D20" i="21"/>
  <c r="D22" i="21"/>
  <c r="G23" i="21"/>
  <c r="I37" i="21"/>
  <c r="F16" i="21"/>
  <c r="D17" i="21"/>
  <c r="I17" i="21"/>
  <c r="C18" i="21"/>
  <c r="I18" i="21"/>
  <c r="E19" i="21"/>
  <c r="G20" i="21"/>
  <c r="D21" i="21"/>
  <c r="I21" i="21"/>
  <c r="G22" i="21"/>
  <c r="D23" i="21"/>
  <c r="I23" i="21"/>
  <c r="H46" i="21"/>
  <c r="I31" i="21"/>
  <c r="B61" i="21"/>
  <c r="AG31" i="21"/>
  <c r="H48" i="21"/>
  <c r="B60" i="21"/>
  <c r="J11" i="20"/>
  <c r="G16" i="20" s="1"/>
  <c r="H47" i="20"/>
  <c r="H56" i="20" s="1"/>
  <c r="I56" i="20" s="1"/>
  <c r="N32" i="20"/>
  <c r="O32" i="20" s="1"/>
  <c r="N38" i="20"/>
  <c r="O38" i="20" s="1"/>
  <c r="B42" i="20"/>
  <c r="K4" i="20"/>
  <c r="H55" i="20"/>
  <c r="I55" i="20" s="1"/>
  <c r="D22" i="20"/>
  <c r="D17" i="20"/>
  <c r="G20" i="20"/>
  <c r="E16" i="20"/>
  <c r="C16" i="20"/>
  <c r="D19" i="20"/>
  <c r="H12" i="20"/>
  <c r="K8" i="20"/>
  <c r="E12" i="20"/>
  <c r="B45" i="20"/>
  <c r="N33" i="20"/>
  <c r="O33" i="20" s="1"/>
  <c r="B59" i="20"/>
  <c r="B60" i="20"/>
  <c r="B61" i="20"/>
  <c r="B47" i="20"/>
  <c r="B49" i="20"/>
  <c r="H57" i="20"/>
  <c r="I57" i="20" s="1"/>
  <c r="B46" i="20"/>
  <c r="H52" i="20"/>
  <c r="N39" i="20"/>
  <c r="O39" i="20" s="1"/>
  <c r="K49" i="20"/>
  <c r="K51" i="20"/>
  <c r="K50" i="20"/>
  <c r="H34" i="17"/>
  <c r="H34" i="16"/>
  <c r="H34" i="15"/>
  <c r="AW56" i="12" l="1"/>
  <c r="AW48" i="12"/>
  <c r="AW75" i="12"/>
  <c r="AY40" i="21"/>
  <c r="AK41" i="21"/>
  <c r="N42" i="21"/>
  <c r="AJ33" i="21"/>
  <c r="AL33" i="21" s="1"/>
  <c r="Y34" i="21"/>
  <c r="AJ69" i="21"/>
  <c r="Y70" i="21"/>
  <c r="AK35" i="21"/>
  <c r="N36" i="21"/>
  <c r="AL50" i="21"/>
  <c r="AY68" i="21"/>
  <c r="AK68" i="21"/>
  <c r="AL68" i="21" s="1"/>
  <c r="N69" i="21"/>
  <c r="AY32" i="21"/>
  <c r="N162" i="23"/>
  <c r="Z50" i="21"/>
  <c r="AA50" i="21" s="1"/>
  <c r="AY51" i="21"/>
  <c r="AJ51" i="21"/>
  <c r="AL51" i="21" s="1"/>
  <c r="Y52" i="21"/>
  <c r="AY31" i="21"/>
  <c r="AJ41" i="21"/>
  <c r="AL41" i="21" s="1"/>
  <c r="Y42" i="21"/>
  <c r="AK52" i="21"/>
  <c r="N53" i="21"/>
  <c r="AL40" i="21"/>
  <c r="AY50" i="21"/>
  <c r="P372" i="23"/>
  <c r="K6" i="23"/>
  <c r="F12" i="23"/>
  <c r="H12" i="23"/>
  <c r="K8" i="23"/>
  <c r="B12" i="23"/>
  <c r="D12" i="23"/>
  <c r="N391" i="23"/>
  <c r="P262" i="23"/>
  <c r="N629" i="23"/>
  <c r="N461" i="23"/>
  <c r="N517" i="23"/>
  <c r="O293" i="23"/>
  <c r="P293" i="23" s="1"/>
  <c r="N778" i="23"/>
  <c r="P442" i="23"/>
  <c r="N395" i="23"/>
  <c r="N795" i="23"/>
  <c r="P459" i="23"/>
  <c r="N600" i="23"/>
  <c r="N765" i="23"/>
  <c r="P429" i="23"/>
  <c r="P376" i="23"/>
  <c r="O378" i="23"/>
  <c r="P378" i="23" s="1"/>
  <c r="O434" i="23"/>
  <c r="N761" i="23"/>
  <c r="P425" i="23"/>
  <c r="N593" i="23"/>
  <c r="H55" i="23"/>
  <c r="I55" i="23" s="1"/>
  <c r="P408" i="23"/>
  <c r="N410" i="23"/>
  <c r="P410" i="23" s="1"/>
  <c r="N381" i="23"/>
  <c r="N796" i="23"/>
  <c r="P460" i="23"/>
  <c r="H56" i="23"/>
  <c r="I56" i="23" s="1"/>
  <c r="N499" i="23"/>
  <c r="N443" i="23"/>
  <c r="O275" i="23"/>
  <c r="P275" i="23" s="1"/>
  <c r="N762" i="23"/>
  <c r="P426" i="23"/>
  <c r="N760" i="23"/>
  <c r="P424" i="23"/>
  <c r="P432" i="23"/>
  <c r="N597" i="23"/>
  <c r="N398" i="23"/>
  <c r="P417" i="23"/>
  <c r="N415" i="23"/>
  <c r="P415" i="23" s="1"/>
  <c r="F23" i="23"/>
  <c r="B23" i="23"/>
  <c r="F22" i="23"/>
  <c r="B22" i="23"/>
  <c r="I23" i="23"/>
  <c r="E23" i="23"/>
  <c r="I22" i="23"/>
  <c r="E22" i="23"/>
  <c r="I21" i="23"/>
  <c r="E21" i="23"/>
  <c r="I20" i="23"/>
  <c r="E20" i="23"/>
  <c r="F19" i="23"/>
  <c r="B19" i="23"/>
  <c r="G18" i="23"/>
  <c r="C18" i="23"/>
  <c r="I17" i="23"/>
  <c r="E17" i="23"/>
  <c r="G16" i="23"/>
  <c r="C16" i="23"/>
  <c r="G23" i="23"/>
  <c r="G22" i="23"/>
  <c r="D21" i="23"/>
  <c r="G20" i="23"/>
  <c r="B20" i="23"/>
  <c r="E19" i="23"/>
  <c r="I18" i="23"/>
  <c r="D18" i="23"/>
  <c r="H17" i="23"/>
  <c r="C17" i="23"/>
  <c r="E16" i="23"/>
  <c r="I12" i="23"/>
  <c r="C12" i="23"/>
  <c r="K9" i="23"/>
  <c r="C23" i="23"/>
  <c r="B21" i="23"/>
  <c r="D20" i="23"/>
  <c r="H19" i="23"/>
  <c r="H16" i="23"/>
  <c r="H22" i="23"/>
  <c r="F21" i="23"/>
  <c r="C20" i="23"/>
  <c r="E18" i="23"/>
  <c r="D17" i="23"/>
  <c r="F16" i="23"/>
  <c r="E12" i="23"/>
  <c r="B29" i="23"/>
  <c r="D23" i="23"/>
  <c r="D22" i="23"/>
  <c r="H21" i="23"/>
  <c r="C21" i="23"/>
  <c r="F20" i="23"/>
  <c r="I19" i="23"/>
  <c r="D19" i="23"/>
  <c r="H18" i="23"/>
  <c r="B18" i="23"/>
  <c r="G17" i="23"/>
  <c r="B17" i="23"/>
  <c r="I16" i="23"/>
  <c r="D16" i="23"/>
  <c r="C22" i="23"/>
  <c r="G21" i="23"/>
  <c r="C19" i="23"/>
  <c r="F18" i="23"/>
  <c r="F17" i="23"/>
  <c r="B16" i="23"/>
  <c r="H29" i="23"/>
  <c r="H23" i="23"/>
  <c r="H20" i="23"/>
  <c r="G19" i="23"/>
  <c r="K7" i="23"/>
  <c r="H61" i="23"/>
  <c r="I61" i="23" s="1"/>
  <c r="K3" i="23"/>
  <c r="K5" i="23"/>
  <c r="N407" i="23"/>
  <c r="P407" i="23" s="1"/>
  <c r="N371" i="23"/>
  <c r="P371" i="23" s="1"/>
  <c r="H57" i="23"/>
  <c r="I57" i="23" s="1"/>
  <c r="N379" i="23"/>
  <c r="P406" i="23"/>
  <c r="N489" i="23"/>
  <c r="N433" i="23"/>
  <c r="N601" i="23"/>
  <c r="O265" i="23"/>
  <c r="P265" i="23" s="1"/>
  <c r="N413" i="23"/>
  <c r="P413" i="23" s="1"/>
  <c r="P427" i="23"/>
  <c r="N763" i="23"/>
  <c r="N405" i="23"/>
  <c r="P405" i="23" s="1"/>
  <c r="P418" i="23" s="1"/>
  <c r="N366" i="23"/>
  <c r="P366" i="23" s="1"/>
  <c r="N392" i="23"/>
  <c r="N759" i="23"/>
  <c r="P423" i="23"/>
  <c r="N764" i="23"/>
  <c r="P428" i="23"/>
  <c r="N758" i="23"/>
  <c r="P422" i="23"/>
  <c r="N400" i="23"/>
  <c r="O443" i="23"/>
  <c r="N611" i="23" s="1"/>
  <c r="O387" i="23"/>
  <c r="P387" i="23" s="1"/>
  <c r="I37" i="22"/>
  <c r="I33" i="22"/>
  <c r="I32" i="22"/>
  <c r="K10" i="22"/>
  <c r="G16" i="22"/>
  <c r="K4" i="22"/>
  <c r="C33" i="22"/>
  <c r="C31" i="22"/>
  <c r="C12" i="22"/>
  <c r="J12" i="22" s="1"/>
  <c r="K9" i="22"/>
  <c r="K8" i="22"/>
  <c r="B22" i="22"/>
  <c r="J22" i="22" s="1"/>
  <c r="E21" i="22"/>
  <c r="I16" i="22"/>
  <c r="F20" i="22"/>
  <c r="C19" i="22"/>
  <c r="G18" i="22"/>
  <c r="E16" i="22"/>
  <c r="I20" i="22"/>
  <c r="C17" i="22"/>
  <c r="D19" i="22"/>
  <c r="C21" i="22"/>
  <c r="C23" i="22"/>
  <c r="F16" i="22"/>
  <c r="F24" i="22" s="1"/>
  <c r="F18" i="22"/>
  <c r="H20" i="22"/>
  <c r="H22" i="22"/>
  <c r="E12" i="22"/>
  <c r="K5" i="22"/>
  <c r="G23" i="22"/>
  <c r="D17" i="22"/>
  <c r="E19" i="22"/>
  <c r="D21" i="22"/>
  <c r="D23" i="22"/>
  <c r="K7" i="22"/>
  <c r="I24" i="22"/>
  <c r="H24" i="22"/>
  <c r="J21" i="22"/>
  <c r="B57" i="22"/>
  <c r="J23" i="22"/>
  <c r="H41" i="22"/>
  <c r="I42" i="22" s="1"/>
  <c r="I29" i="22"/>
  <c r="I36" i="22"/>
  <c r="I35" i="22"/>
  <c r="I31" i="22"/>
  <c r="H44" i="22"/>
  <c r="I34" i="22"/>
  <c r="I38" i="22"/>
  <c r="I47" i="22"/>
  <c r="H56" i="22"/>
  <c r="I56" i="22" s="1"/>
  <c r="B59" i="22"/>
  <c r="I48" i="22"/>
  <c r="H57" i="22"/>
  <c r="I57" i="22" s="1"/>
  <c r="J20" i="22"/>
  <c r="D24" i="22"/>
  <c r="B44" i="22"/>
  <c r="C50" i="22" s="1"/>
  <c r="B41" i="22"/>
  <c r="C42" i="22" s="1"/>
  <c r="C34" i="22"/>
  <c r="C36" i="22"/>
  <c r="B54" i="22"/>
  <c r="C60" i="22" s="1"/>
  <c r="C39" i="22"/>
  <c r="C29" i="22"/>
  <c r="G24" i="21"/>
  <c r="C34" i="21"/>
  <c r="O67" i="21"/>
  <c r="I24" i="21"/>
  <c r="J17" i="21"/>
  <c r="J21" i="21"/>
  <c r="C24" i="21"/>
  <c r="O51" i="21"/>
  <c r="H57" i="21"/>
  <c r="I57" i="21" s="1"/>
  <c r="D24" i="21"/>
  <c r="J20" i="21"/>
  <c r="J22" i="21"/>
  <c r="I32" i="21"/>
  <c r="H44" i="21"/>
  <c r="I45" i="21" s="1"/>
  <c r="I38" i="21"/>
  <c r="I36" i="21"/>
  <c r="I29" i="21"/>
  <c r="H41" i="21"/>
  <c r="I42" i="21" s="1"/>
  <c r="I33" i="21"/>
  <c r="I34" i="21"/>
  <c r="H61" i="21"/>
  <c r="I61" i="21" s="1"/>
  <c r="I35" i="21"/>
  <c r="E24" i="21"/>
  <c r="J12" i="21"/>
  <c r="J16" i="21"/>
  <c r="J23" i="21"/>
  <c r="B24" i="21"/>
  <c r="P51" i="21"/>
  <c r="H55" i="21"/>
  <c r="I55" i="21" s="1"/>
  <c r="F24" i="21"/>
  <c r="H24" i="21"/>
  <c r="J18" i="21"/>
  <c r="B54" i="21"/>
  <c r="C61" i="21" s="1"/>
  <c r="B44" i="21"/>
  <c r="B41" i="21"/>
  <c r="C42" i="21" s="1"/>
  <c r="C37" i="21"/>
  <c r="C35" i="21"/>
  <c r="C31" i="21"/>
  <c r="C30" i="21"/>
  <c r="C33" i="21"/>
  <c r="C32" i="21"/>
  <c r="C29" i="21"/>
  <c r="C38" i="21"/>
  <c r="J19" i="21"/>
  <c r="I39" i="21"/>
  <c r="I16" i="20"/>
  <c r="F20" i="20"/>
  <c r="G18" i="20"/>
  <c r="C17" i="20"/>
  <c r="C23" i="20"/>
  <c r="E19" i="20"/>
  <c r="D23" i="20"/>
  <c r="C12" i="20"/>
  <c r="F21" i="20"/>
  <c r="F17" i="20"/>
  <c r="B17" i="20"/>
  <c r="I22" i="20"/>
  <c r="H19" i="20"/>
  <c r="I17" i="20"/>
  <c r="B23" i="20"/>
  <c r="I19" i="20"/>
  <c r="I12" i="20"/>
  <c r="J12" i="20" s="1"/>
  <c r="K3" i="20"/>
  <c r="I20" i="20"/>
  <c r="G21" i="20"/>
  <c r="H18" i="20"/>
  <c r="I23" i="20"/>
  <c r="B21" i="20"/>
  <c r="B20" i="20"/>
  <c r="J20" i="20" s="1"/>
  <c r="B16" i="20"/>
  <c r="D20" i="20"/>
  <c r="B29" i="20"/>
  <c r="C35" i="20" s="1"/>
  <c r="B19" i="20"/>
  <c r="K9" i="20"/>
  <c r="G12" i="20"/>
  <c r="B12" i="20"/>
  <c r="G23" i="20"/>
  <c r="G17" i="20"/>
  <c r="I21" i="20"/>
  <c r="H16" i="20"/>
  <c r="G22" i="20"/>
  <c r="F19" i="20"/>
  <c r="B22" i="20"/>
  <c r="H17" i="20"/>
  <c r="H21" i="20"/>
  <c r="G19" i="20"/>
  <c r="E18" i="20"/>
  <c r="C34" i="20"/>
  <c r="C31" i="20"/>
  <c r="C36" i="20"/>
  <c r="E22" i="20"/>
  <c r="F12" i="20"/>
  <c r="E20" i="20"/>
  <c r="D16" i="20"/>
  <c r="C18" i="20"/>
  <c r="C21" i="20"/>
  <c r="H29" i="20"/>
  <c r="I29" i="20" s="1"/>
  <c r="C19" i="20"/>
  <c r="D12" i="20"/>
  <c r="D18" i="20"/>
  <c r="C22" i="20"/>
  <c r="F23" i="20"/>
  <c r="B18" i="20"/>
  <c r="D21" i="20"/>
  <c r="H23" i="20"/>
  <c r="K10" i="20"/>
  <c r="K7" i="20"/>
  <c r="K6" i="20"/>
  <c r="I18" i="20"/>
  <c r="E21" i="20"/>
  <c r="F22" i="20"/>
  <c r="F16" i="20"/>
  <c r="F18" i="20"/>
  <c r="H20" i="20"/>
  <c r="H22" i="20"/>
  <c r="C20" i="20"/>
  <c r="K5" i="20"/>
  <c r="E23" i="20"/>
  <c r="E17" i="20"/>
  <c r="H61" i="20"/>
  <c r="I61" i="20" s="1"/>
  <c r="B55" i="20"/>
  <c r="B56" i="20"/>
  <c r="I36" i="20"/>
  <c r="B54" i="20"/>
  <c r="C57" i="20" s="1"/>
  <c r="C33" i="20"/>
  <c r="B44" i="20"/>
  <c r="C49" i="20" s="1"/>
  <c r="C39" i="20"/>
  <c r="B41" i="20"/>
  <c r="C42" i="20" s="1"/>
  <c r="C29" i="20"/>
  <c r="C38" i="20"/>
  <c r="B58" i="20"/>
  <c r="H24" i="20"/>
  <c r="I52" i="18"/>
  <c r="I51" i="18"/>
  <c r="I50" i="18"/>
  <c r="I49" i="18"/>
  <c r="I47" i="18"/>
  <c r="I46" i="18"/>
  <c r="I45" i="18"/>
  <c r="I44" i="18"/>
  <c r="I43" i="18"/>
  <c r="I42" i="18"/>
  <c r="K87" i="18"/>
  <c r="I87" i="18"/>
  <c r="K86" i="18"/>
  <c r="K81" i="18"/>
  <c r="K80" i="18"/>
  <c r="J74" i="18"/>
  <c r="K74" i="18" s="1"/>
  <c r="J73" i="18"/>
  <c r="K73" i="18" s="1"/>
  <c r="J72" i="18"/>
  <c r="K72" i="18" s="1"/>
  <c r="J71" i="18"/>
  <c r="K71" i="18" s="1"/>
  <c r="J70" i="18"/>
  <c r="K70" i="18" s="1"/>
  <c r="J69" i="18"/>
  <c r="K69" i="18" s="1"/>
  <c r="J68" i="18"/>
  <c r="K68" i="18" s="1"/>
  <c r="K65" i="18"/>
  <c r="I65" i="18"/>
  <c r="K64" i="18"/>
  <c r="I64" i="18"/>
  <c r="K63" i="18"/>
  <c r="I63" i="18"/>
  <c r="K62" i="18"/>
  <c r="K61" i="18"/>
  <c r="I61" i="18"/>
  <c r="K60" i="18"/>
  <c r="K59" i="18"/>
  <c r="I59" i="18"/>
  <c r="K58" i="18"/>
  <c r="J57" i="18"/>
  <c r="K57" i="18" s="1"/>
  <c r="K55" i="18"/>
  <c r="K52" i="18"/>
  <c r="K51" i="18"/>
  <c r="K50" i="18"/>
  <c r="K49" i="18"/>
  <c r="K48" i="18"/>
  <c r="I48" i="18"/>
  <c r="K47" i="18"/>
  <c r="K46" i="18"/>
  <c r="I81" i="18"/>
  <c r="K45" i="18"/>
  <c r="K44" i="18"/>
  <c r="I62" i="18"/>
  <c r="K43" i="18"/>
  <c r="I58" i="18"/>
  <c r="K42" i="18"/>
  <c r="H34" i="4"/>
  <c r="H34" i="13"/>
  <c r="AW76" i="12" l="1"/>
  <c r="AW57" i="12"/>
  <c r="AJ42" i="21"/>
  <c r="Y43" i="21"/>
  <c r="AJ34" i="21"/>
  <c r="AL34" i="21" s="1"/>
  <c r="Y35" i="21"/>
  <c r="O52" i="21"/>
  <c r="N163" i="23"/>
  <c r="Z51" i="21"/>
  <c r="AA51" i="21" s="1"/>
  <c r="N179" i="23"/>
  <c r="Z67" i="21"/>
  <c r="AA67" i="21" s="1"/>
  <c r="AK53" i="21"/>
  <c r="N54" i="21"/>
  <c r="AJ52" i="21"/>
  <c r="AL52" i="21" s="1"/>
  <c r="Y53" i="21"/>
  <c r="O330" i="23"/>
  <c r="P330" i="23" s="1"/>
  <c r="O722" i="23"/>
  <c r="O554" i="23"/>
  <c r="O666" i="23"/>
  <c r="AJ70" i="21"/>
  <c r="Y71" i="21"/>
  <c r="AY42" i="21"/>
  <c r="AK42" i="21"/>
  <c r="N43" i="21"/>
  <c r="AY41" i="21"/>
  <c r="AY52" i="21"/>
  <c r="AK69" i="21"/>
  <c r="AL69" i="21" s="1"/>
  <c r="AY69" i="21"/>
  <c r="N70" i="21"/>
  <c r="AK36" i="21"/>
  <c r="N37" i="21"/>
  <c r="AK37" i="21" s="1"/>
  <c r="AY33" i="21"/>
  <c r="P374" i="23"/>
  <c r="P430" i="23"/>
  <c r="J12" i="23"/>
  <c r="O388" i="23"/>
  <c r="P388" i="23" s="1"/>
  <c r="O444" i="23"/>
  <c r="N612" i="23" s="1"/>
  <c r="J18" i="23"/>
  <c r="C24" i="23"/>
  <c r="N500" i="23"/>
  <c r="N444" i="23"/>
  <c r="O276" i="23"/>
  <c r="P276" i="23" s="1"/>
  <c r="N518" i="23"/>
  <c r="N630" i="23"/>
  <c r="N462" i="23"/>
  <c r="O294" i="23"/>
  <c r="P294" i="23" s="1"/>
  <c r="N797" i="23"/>
  <c r="P461" i="23"/>
  <c r="I30" i="23"/>
  <c r="I38" i="23"/>
  <c r="I35" i="23"/>
  <c r="H41" i="23"/>
  <c r="I42" i="23" s="1"/>
  <c r="H44" i="23"/>
  <c r="I32" i="23"/>
  <c r="I29" i="23"/>
  <c r="I34" i="23"/>
  <c r="I36" i="23"/>
  <c r="I33" i="23"/>
  <c r="I37" i="23"/>
  <c r="I39" i="23"/>
  <c r="I31" i="23"/>
  <c r="H24" i="23"/>
  <c r="E24" i="23"/>
  <c r="G24" i="23"/>
  <c r="N769" i="23"/>
  <c r="P433" i="23"/>
  <c r="O50" i="23"/>
  <c r="B24" i="23"/>
  <c r="J16" i="23"/>
  <c r="J17" i="23"/>
  <c r="J19" i="23"/>
  <c r="J23" i="23"/>
  <c r="D24" i="23"/>
  <c r="J21" i="23"/>
  <c r="J22" i="23"/>
  <c r="O435" i="23"/>
  <c r="O379" i="23"/>
  <c r="P379" i="23" s="1"/>
  <c r="O67" i="23"/>
  <c r="I24" i="23"/>
  <c r="C38" i="23"/>
  <c r="C36" i="23"/>
  <c r="C33" i="23"/>
  <c r="C31" i="23"/>
  <c r="B44" i="23"/>
  <c r="C39" i="23"/>
  <c r="C29" i="23"/>
  <c r="B41" i="23"/>
  <c r="C42" i="23" s="1"/>
  <c r="C37" i="23"/>
  <c r="B54" i="23"/>
  <c r="C30" i="23"/>
  <c r="C34" i="23"/>
  <c r="C35" i="23"/>
  <c r="C32" i="23"/>
  <c r="N602" i="23"/>
  <c r="N490" i="23"/>
  <c r="O266" i="23"/>
  <c r="P266" i="23" s="1"/>
  <c r="N434" i="23"/>
  <c r="F24" i="23"/>
  <c r="J20" i="23"/>
  <c r="N779" i="23"/>
  <c r="P443" i="23"/>
  <c r="J16" i="22"/>
  <c r="C24" i="22"/>
  <c r="J17" i="22"/>
  <c r="J18" i="22"/>
  <c r="B24" i="22"/>
  <c r="J19" i="22"/>
  <c r="E24" i="22"/>
  <c r="G24" i="22"/>
  <c r="C56" i="22"/>
  <c r="C55" i="22"/>
  <c r="C61" i="22"/>
  <c r="C44" i="22"/>
  <c r="C46" i="22"/>
  <c r="C51" i="22"/>
  <c r="C45" i="22"/>
  <c r="C52" i="22"/>
  <c r="C47" i="22"/>
  <c r="C49" i="22"/>
  <c r="U39" i="22"/>
  <c r="U38" i="22"/>
  <c r="C48" i="22"/>
  <c r="C58" i="22"/>
  <c r="I44" i="22"/>
  <c r="I49" i="22"/>
  <c r="I51" i="22"/>
  <c r="I45" i="22"/>
  <c r="I50" i="22"/>
  <c r="I46" i="22"/>
  <c r="I52" i="22"/>
  <c r="C57" i="22"/>
  <c r="C59" i="22"/>
  <c r="C56" i="21"/>
  <c r="C60" i="21"/>
  <c r="I52" i="21"/>
  <c r="O68" i="21"/>
  <c r="P67" i="21"/>
  <c r="C50" i="21"/>
  <c r="C46" i="21"/>
  <c r="C44" i="21"/>
  <c r="C51" i="21"/>
  <c r="C45" i="21"/>
  <c r="C48" i="21"/>
  <c r="C52" i="21"/>
  <c r="C47" i="21"/>
  <c r="C49" i="21"/>
  <c r="O36" i="21"/>
  <c r="O34" i="21"/>
  <c r="O33" i="21"/>
  <c r="O32" i="21"/>
  <c r="J24" i="21"/>
  <c r="Y18" i="21"/>
  <c r="O30" i="21"/>
  <c r="Y23" i="21"/>
  <c r="Y21" i="21"/>
  <c r="Y17" i="21"/>
  <c r="O35" i="21"/>
  <c r="Y22" i="21"/>
  <c r="O31" i="21"/>
  <c r="Y19" i="21"/>
  <c r="Y24" i="21"/>
  <c r="Y20" i="21"/>
  <c r="O37" i="21"/>
  <c r="Z19" i="21"/>
  <c r="Z24" i="21"/>
  <c r="Z22" i="21"/>
  <c r="Z20" i="21"/>
  <c r="Z23" i="21"/>
  <c r="Z21" i="21"/>
  <c r="Z18" i="21"/>
  <c r="Z17" i="21"/>
  <c r="I50" i="21"/>
  <c r="I44" i="21"/>
  <c r="I51" i="21"/>
  <c r="I49" i="21"/>
  <c r="I47" i="21"/>
  <c r="I48" i="21"/>
  <c r="C59" i="21"/>
  <c r="C58" i="21"/>
  <c r="C55" i="21"/>
  <c r="C57" i="21"/>
  <c r="I46" i="21"/>
  <c r="O47" i="21"/>
  <c r="O46" i="21"/>
  <c r="O44" i="21"/>
  <c r="O41" i="21"/>
  <c r="AF18" i="21"/>
  <c r="O45" i="21"/>
  <c r="AF24" i="21"/>
  <c r="O43" i="21"/>
  <c r="AF23" i="21"/>
  <c r="AF21" i="21"/>
  <c r="AF17" i="21"/>
  <c r="AF19" i="21"/>
  <c r="O42" i="21"/>
  <c r="O40" i="21"/>
  <c r="AF22" i="21"/>
  <c r="AF20" i="21"/>
  <c r="J16" i="20"/>
  <c r="G24" i="20"/>
  <c r="J19" i="20"/>
  <c r="B24" i="20"/>
  <c r="I35" i="20"/>
  <c r="C30" i="20"/>
  <c r="C32" i="20"/>
  <c r="C37" i="20"/>
  <c r="I39" i="20"/>
  <c r="I33" i="20"/>
  <c r="J22" i="20"/>
  <c r="H41" i="20"/>
  <c r="I42" i="20" s="1"/>
  <c r="I31" i="20"/>
  <c r="I32" i="20"/>
  <c r="I37" i="20"/>
  <c r="I38" i="20"/>
  <c r="C24" i="20"/>
  <c r="I34" i="20"/>
  <c r="I30" i="20"/>
  <c r="H44" i="20"/>
  <c r="I44" i="20" s="1"/>
  <c r="D24" i="20"/>
  <c r="J17" i="20"/>
  <c r="F24" i="20"/>
  <c r="E24" i="20"/>
  <c r="I24" i="20"/>
  <c r="J21" i="20"/>
  <c r="J23" i="20"/>
  <c r="J18" i="20"/>
  <c r="C58" i="20"/>
  <c r="C44" i="20"/>
  <c r="C52" i="20"/>
  <c r="C48" i="20"/>
  <c r="C51" i="20"/>
  <c r="C50" i="20"/>
  <c r="C45" i="20"/>
  <c r="C56" i="20"/>
  <c r="C55" i="20"/>
  <c r="I48" i="20"/>
  <c r="C59" i="20"/>
  <c r="C60" i="20"/>
  <c r="C61" i="20"/>
  <c r="C47" i="20"/>
  <c r="C46" i="20"/>
  <c r="I70" i="18"/>
  <c r="I69" i="18"/>
  <c r="I60" i="18"/>
  <c r="I68" i="18"/>
  <c r="I73" i="18"/>
  <c r="I71" i="18"/>
  <c r="I72" i="18"/>
  <c r="I74" i="18"/>
  <c r="I55" i="18"/>
  <c r="I86" i="18"/>
  <c r="I57" i="18"/>
  <c r="I80" i="18"/>
  <c r="N760" i="13"/>
  <c r="N761" i="13"/>
  <c r="P761" i="13" s="1"/>
  <c r="N762" i="13"/>
  <c r="N763" i="13"/>
  <c r="N764" i="13"/>
  <c r="N765" i="13"/>
  <c r="N768" i="13"/>
  <c r="N769" i="13"/>
  <c r="N770" i="13"/>
  <c r="N771" i="13"/>
  <c r="P771" i="13" s="1"/>
  <c r="N772" i="13"/>
  <c r="N773" i="13"/>
  <c r="P773" i="13" s="1"/>
  <c r="N774" i="13"/>
  <c r="N775" i="13"/>
  <c r="P775" i="13" s="1"/>
  <c r="N778" i="13"/>
  <c r="N779" i="13"/>
  <c r="P779" i="13" s="1"/>
  <c r="N780" i="13"/>
  <c r="N781" i="13"/>
  <c r="N782" i="13"/>
  <c r="N783" i="13"/>
  <c r="P783" i="13" s="1"/>
  <c r="N784" i="13"/>
  <c r="N785" i="13"/>
  <c r="P785" i="13" s="1"/>
  <c r="N786" i="13"/>
  <c r="N787" i="13"/>
  <c r="P787" i="13" s="1"/>
  <c r="N788" i="13"/>
  <c r="N789" i="13"/>
  <c r="N790" i="13"/>
  <c r="N791" i="13"/>
  <c r="P791" i="13" s="1"/>
  <c r="N792" i="13"/>
  <c r="N800" i="13"/>
  <c r="N801" i="13"/>
  <c r="N802" i="13"/>
  <c r="N803" i="13"/>
  <c r="N804" i="13"/>
  <c r="N805" i="13"/>
  <c r="P805" i="13" s="1"/>
  <c r="N806" i="13"/>
  <c r="N807" i="13"/>
  <c r="P807" i="13" s="1"/>
  <c r="N808" i="13"/>
  <c r="N809" i="13"/>
  <c r="O768" i="13"/>
  <c r="O769" i="13"/>
  <c r="O770" i="13"/>
  <c r="O771" i="13"/>
  <c r="O772" i="13"/>
  <c r="O773" i="13"/>
  <c r="O774" i="13"/>
  <c r="O775" i="13"/>
  <c r="O778" i="13"/>
  <c r="O779" i="13"/>
  <c r="O780" i="13"/>
  <c r="O781" i="13"/>
  <c r="O782" i="13"/>
  <c r="P782" i="13" s="1"/>
  <c r="O783" i="13"/>
  <c r="O784" i="13"/>
  <c r="O785" i="13"/>
  <c r="O786" i="13"/>
  <c r="O787" i="13"/>
  <c r="O788" i="13"/>
  <c r="O789" i="13"/>
  <c r="O790" i="13"/>
  <c r="P790" i="13" s="1"/>
  <c r="O791" i="13"/>
  <c r="O792" i="13"/>
  <c r="O795" i="13"/>
  <c r="O796" i="13"/>
  <c r="O797" i="13"/>
  <c r="O798" i="13"/>
  <c r="O799" i="13"/>
  <c r="O800" i="13"/>
  <c r="O801" i="13"/>
  <c r="P801" i="13" s="1"/>
  <c r="O802" i="13"/>
  <c r="O803" i="13"/>
  <c r="O804" i="13"/>
  <c r="O805" i="13"/>
  <c r="O806" i="13"/>
  <c r="O807" i="13"/>
  <c r="O808" i="13"/>
  <c r="O809" i="13"/>
  <c r="P809" i="13" s="1"/>
  <c r="O759" i="13"/>
  <c r="O760" i="13"/>
  <c r="O761" i="13"/>
  <c r="O762" i="13"/>
  <c r="O763" i="13"/>
  <c r="O764" i="13"/>
  <c r="O765" i="13"/>
  <c r="O758" i="13"/>
  <c r="N758" i="13"/>
  <c r="P803" i="13"/>
  <c r="P792" i="13"/>
  <c r="P789" i="13"/>
  <c r="P786" i="13"/>
  <c r="P784" i="13"/>
  <c r="P781" i="13"/>
  <c r="P778" i="13"/>
  <c r="P774" i="13"/>
  <c r="P772" i="13"/>
  <c r="P769" i="13"/>
  <c r="P768" i="13"/>
  <c r="P765" i="13"/>
  <c r="P764" i="13"/>
  <c r="P762" i="13"/>
  <c r="P760" i="13"/>
  <c r="W758" i="13"/>
  <c r="V758" i="13"/>
  <c r="W759" i="13" s="1"/>
  <c r="E56" i="14"/>
  <c r="E57" i="14"/>
  <c r="E58" i="14"/>
  <c r="E59" i="14"/>
  <c r="E60" i="14"/>
  <c r="E61" i="14"/>
  <c r="E62" i="14"/>
  <c r="E63" i="14"/>
  <c r="E64" i="14"/>
  <c r="E65" i="14"/>
  <c r="E55" i="14"/>
  <c r="C29" i="19"/>
  <c r="D29" i="19"/>
  <c r="E29" i="19"/>
  <c r="F29" i="19"/>
  <c r="G29" i="19"/>
  <c r="H29" i="19"/>
  <c r="I29" i="19"/>
  <c r="J29" i="19"/>
  <c r="C30" i="19"/>
  <c r="D30" i="19"/>
  <c r="E30" i="19"/>
  <c r="F30" i="19"/>
  <c r="G30" i="19"/>
  <c r="H30" i="19"/>
  <c r="I30" i="19"/>
  <c r="J30" i="19"/>
  <c r="C31" i="19"/>
  <c r="D31" i="19"/>
  <c r="E31" i="19"/>
  <c r="F31" i="19"/>
  <c r="G31" i="19"/>
  <c r="H31" i="19"/>
  <c r="I31" i="19"/>
  <c r="J31" i="19"/>
  <c r="C32" i="19"/>
  <c r="D32" i="19"/>
  <c r="E32" i="19"/>
  <c r="F32" i="19"/>
  <c r="G32" i="19"/>
  <c r="H32" i="19"/>
  <c r="I32" i="19"/>
  <c r="J32" i="19"/>
  <c r="C33" i="19"/>
  <c r="D33" i="19"/>
  <c r="E33" i="19"/>
  <c r="F33" i="19"/>
  <c r="G33" i="19"/>
  <c r="H33" i="19"/>
  <c r="I33" i="19"/>
  <c r="J33" i="19"/>
  <c r="C34" i="19"/>
  <c r="D34" i="19"/>
  <c r="E34" i="19"/>
  <c r="F34" i="19"/>
  <c r="G34" i="19"/>
  <c r="H34" i="19"/>
  <c r="I34" i="19"/>
  <c r="J34" i="19"/>
  <c r="C35" i="19"/>
  <c r="D35" i="19"/>
  <c r="E35" i="19"/>
  <c r="F35" i="19"/>
  <c r="G35" i="19"/>
  <c r="H35" i="19"/>
  <c r="I35" i="19"/>
  <c r="J35" i="19"/>
  <c r="C36" i="19"/>
  <c r="D36" i="19"/>
  <c r="E36" i="19"/>
  <c r="F36" i="19"/>
  <c r="G36" i="19"/>
  <c r="H36" i="19"/>
  <c r="I36" i="19"/>
  <c r="J36" i="19"/>
  <c r="C37" i="19"/>
  <c r="D37" i="19"/>
  <c r="E37" i="19"/>
  <c r="F37" i="19"/>
  <c r="G37" i="19"/>
  <c r="H37" i="19"/>
  <c r="I37" i="19"/>
  <c r="J37" i="19"/>
  <c r="B30" i="19"/>
  <c r="B31" i="19"/>
  <c r="B32" i="19"/>
  <c r="B33" i="19"/>
  <c r="B34" i="19"/>
  <c r="B35" i="19"/>
  <c r="B36" i="19"/>
  <c r="B37" i="19"/>
  <c r="B29" i="19"/>
  <c r="C29" i="18"/>
  <c r="D29" i="18"/>
  <c r="E29" i="18"/>
  <c r="F29" i="18"/>
  <c r="G29" i="18"/>
  <c r="H29" i="18"/>
  <c r="I29" i="18"/>
  <c r="J29" i="18"/>
  <c r="C30" i="18"/>
  <c r="D30" i="18"/>
  <c r="E30" i="18"/>
  <c r="F30" i="18"/>
  <c r="G30" i="18"/>
  <c r="H30" i="18"/>
  <c r="I30" i="18"/>
  <c r="J30" i="18"/>
  <c r="C31" i="18"/>
  <c r="D31" i="18"/>
  <c r="E31" i="18"/>
  <c r="F31" i="18"/>
  <c r="G31" i="18"/>
  <c r="H31" i="18"/>
  <c r="I31" i="18"/>
  <c r="J31" i="18"/>
  <c r="C32" i="18"/>
  <c r="D32" i="18"/>
  <c r="E32" i="18"/>
  <c r="F32" i="18"/>
  <c r="G32" i="18"/>
  <c r="H32" i="18"/>
  <c r="I32" i="18"/>
  <c r="J32" i="18"/>
  <c r="C33" i="18"/>
  <c r="D33" i="18"/>
  <c r="E33" i="18"/>
  <c r="F33" i="18"/>
  <c r="G33" i="18"/>
  <c r="H33" i="18"/>
  <c r="I33" i="18"/>
  <c r="J33" i="18"/>
  <c r="C34" i="18"/>
  <c r="D34" i="18"/>
  <c r="E34" i="18"/>
  <c r="F34" i="18"/>
  <c r="G34" i="18"/>
  <c r="H34" i="18"/>
  <c r="I34" i="18"/>
  <c r="J34" i="18"/>
  <c r="C35" i="18"/>
  <c r="D35" i="18"/>
  <c r="E35" i="18"/>
  <c r="F35" i="18"/>
  <c r="G35" i="18"/>
  <c r="H35" i="18"/>
  <c r="I35" i="18"/>
  <c r="J35" i="18"/>
  <c r="C36" i="18"/>
  <c r="D36" i="18"/>
  <c r="E36" i="18"/>
  <c r="F36" i="18"/>
  <c r="G36" i="18"/>
  <c r="H36" i="18"/>
  <c r="I36" i="18"/>
  <c r="J36" i="18"/>
  <c r="C37" i="18"/>
  <c r="D37" i="18"/>
  <c r="E37" i="18"/>
  <c r="F37" i="18"/>
  <c r="G37" i="18"/>
  <c r="H37" i="18"/>
  <c r="I37" i="18"/>
  <c r="J37" i="18"/>
  <c r="B30" i="18"/>
  <c r="B31" i="18"/>
  <c r="B32" i="18"/>
  <c r="B33" i="18"/>
  <c r="B34" i="18"/>
  <c r="B35" i="18"/>
  <c r="B36" i="18"/>
  <c r="B37" i="18"/>
  <c r="B29" i="18"/>
  <c r="AW58" i="12" l="1"/>
  <c r="AW77" i="12"/>
  <c r="AL42" i="21"/>
  <c r="P43" i="21"/>
  <c r="N155" i="23"/>
  <c r="Z43" i="21"/>
  <c r="AA43" i="21" s="1"/>
  <c r="P41" i="21"/>
  <c r="N153" i="23"/>
  <c r="Z41" i="21"/>
  <c r="AA41" i="21" s="1"/>
  <c r="P35" i="21"/>
  <c r="N147" i="23"/>
  <c r="Z35" i="21"/>
  <c r="P30" i="21"/>
  <c r="Z30" i="21"/>
  <c r="AA30" i="21" s="1"/>
  <c r="N142" i="23"/>
  <c r="P33" i="21"/>
  <c r="N145" i="23"/>
  <c r="Z33" i="21"/>
  <c r="AA33" i="21" s="1"/>
  <c r="AJ53" i="21"/>
  <c r="AL53" i="21" s="1"/>
  <c r="AY53" i="21"/>
  <c r="Y54" i="21"/>
  <c r="Z44" i="21"/>
  <c r="N156" i="23"/>
  <c r="P34" i="21"/>
  <c r="Z34" i="21"/>
  <c r="AA34" i="21" s="1"/>
  <c r="N146" i="23"/>
  <c r="N180" i="23"/>
  <c r="Z68" i="21"/>
  <c r="AA68" i="21" s="1"/>
  <c r="AY70" i="21"/>
  <c r="AK70" i="21"/>
  <c r="AL70" i="21" s="1"/>
  <c r="N71" i="21"/>
  <c r="AJ71" i="21"/>
  <c r="Y72" i="21"/>
  <c r="O331" i="23"/>
  <c r="P331" i="23" s="1"/>
  <c r="O723" i="23"/>
  <c r="O667" i="23"/>
  <c r="O555" i="23"/>
  <c r="AY34" i="21"/>
  <c r="AJ43" i="21"/>
  <c r="Y44" i="21"/>
  <c r="P40" i="21"/>
  <c r="Z40" i="21"/>
  <c r="AA40" i="21" s="1"/>
  <c r="N152" i="23"/>
  <c r="N157" i="23"/>
  <c r="Z45" i="21"/>
  <c r="Z46" i="21"/>
  <c r="N158" i="23"/>
  <c r="P37" i="21"/>
  <c r="N149" i="23"/>
  <c r="Z37" i="21"/>
  <c r="P31" i="21"/>
  <c r="N143" i="23"/>
  <c r="Z31" i="21"/>
  <c r="AA31" i="21" s="1"/>
  <c r="P36" i="21"/>
  <c r="Z36" i="21"/>
  <c r="N148" i="23"/>
  <c r="AK43" i="21"/>
  <c r="N44" i="21"/>
  <c r="O53" i="21"/>
  <c r="Z52" i="21"/>
  <c r="AA52" i="21" s="1"/>
  <c r="N164" i="23"/>
  <c r="P42" i="21"/>
  <c r="Z42" i="21"/>
  <c r="AA42" i="21" s="1"/>
  <c r="N154" i="23"/>
  <c r="N159" i="23"/>
  <c r="Z47" i="21"/>
  <c r="P32" i="21"/>
  <c r="Z32" i="21"/>
  <c r="AA32" i="21" s="1"/>
  <c r="N144" i="23"/>
  <c r="P52" i="21"/>
  <c r="AK54" i="21"/>
  <c r="N55" i="21"/>
  <c r="O347" i="23"/>
  <c r="P347" i="23" s="1"/>
  <c r="O571" i="23"/>
  <c r="O739" i="23"/>
  <c r="O683" i="23"/>
  <c r="AJ35" i="21"/>
  <c r="AL35" i="21" s="1"/>
  <c r="Y36" i="21"/>
  <c r="O548" i="23"/>
  <c r="O436" i="23"/>
  <c r="O380" i="23"/>
  <c r="P380" i="23" s="1"/>
  <c r="O214" i="23"/>
  <c r="P214" i="23" s="1"/>
  <c r="O210" i="23"/>
  <c r="P210" i="23" s="1"/>
  <c r="O159" i="23"/>
  <c r="O155" i="23"/>
  <c r="N547" i="23" s="1"/>
  <c r="O215" i="23"/>
  <c r="P215" i="23" s="1"/>
  <c r="O211" i="23"/>
  <c r="P211" i="23" s="1"/>
  <c r="O156" i="23"/>
  <c r="O152" i="23"/>
  <c r="O101" i="23"/>
  <c r="O97" i="23"/>
  <c r="P97" i="23" s="1"/>
  <c r="O46" i="23"/>
  <c r="O43" i="23"/>
  <c r="P43" i="23" s="1"/>
  <c r="O41" i="23"/>
  <c r="O158" i="23"/>
  <c r="O154" i="23"/>
  <c r="O100" i="23"/>
  <c r="P100" i="23" s="1"/>
  <c r="O98" i="23"/>
  <c r="P98" i="23" s="1"/>
  <c r="O40" i="23"/>
  <c r="O212" i="23"/>
  <c r="P212" i="23" s="1"/>
  <c r="O208" i="23"/>
  <c r="P208" i="23" s="1"/>
  <c r="O103" i="23"/>
  <c r="O96" i="23"/>
  <c r="P96" i="23" s="1"/>
  <c r="O47" i="23"/>
  <c r="O42" i="23"/>
  <c r="O45" i="23"/>
  <c r="AF17" i="23"/>
  <c r="O153" i="23"/>
  <c r="O102" i="23"/>
  <c r="AF24" i="23"/>
  <c r="AF22" i="23"/>
  <c r="O209" i="23"/>
  <c r="P209" i="23" s="1"/>
  <c r="O157" i="23"/>
  <c r="AF18" i="23"/>
  <c r="O99" i="23"/>
  <c r="P99" i="23" s="1"/>
  <c r="AF19" i="23"/>
  <c r="O213" i="23"/>
  <c r="P213" i="23" s="1"/>
  <c r="O44" i="23"/>
  <c r="AF23" i="23"/>
  <c r="AF21" i="23"/>
  <c r="AF20" i="23"/>
  <c r="N613" i="23"/>
  <c r="N501" i="23"/>
  <c r="N445" i="23"/>
  <c r="O277" i="23"/>
  <c r="P277" i="23" s="1"/>
  <c r="N770" i="23"/>
  <c r="P434" i="23"/>
  <c r="C60" i="23"/>
  <c r="C59" i="23"/>
  <c r="C55" i="23"/>
  <c r="C61" i="23"/>
  <c r="C56" i="23"/>
  <c r="C57" i="23"/>
  <c r="C58" i="23"/>
  <c r="O123" i="23"/>
  <c r="P67" i="23"/>
  <c r="O179" i="23"/>
  <c r="O68" i="23"/>
  <c r="N683" i="23"/>
  <c r="C44" i="23"/>
  <c r="C51" i="23"/>
  <c r="C52" i="23"/>
  <c r="C45" i="23"/>
  <c r="C50" i="23"/>
  <c r="C46" i="23"/>
  <c r="C47" i="23"/>
  <c r="C49" i="23"/>
  <c r="C48" i="23"/>
  <c r="O203" i="23"/>
  <c r="P203" i="23" s="1"/>
  <c r="O198" i="23"/>
  <c r="P198" i="23" s="1"/>
  <c r="O148" i="23"/>
  <c r="O204" i="23"/>
  <c r="P204" i="23" s="1"/>
  <c r="O149" i="23"/>
  <c r="O90" i="23"/>
  <c r="P90" i="23" s="1"/>
  <c r="O89" i="23"/>
  <c r="P89" i="23" s="1"/>
  <c r="O88" i="23"/>
  <c r="P88" i="23" s="1"/>
  <c r="O87" i="23"/>
  <c r="P87" i="23" s="1"/>
  <c r="O201" i="23"/>
  <c r="P201" i="23" s="1"/>
  <c r="O146" i="23"/>
  <c r="O143" i="23"/>
  <c r="O92" i="23"/>
  <c r="P92" i="23" s="1"/>
  <c r="O34" i="23"/>
  <c r="O32" i="23"/>
  <c r="J24" i="23"/>
  <c r="O202" i="23"/>
  <c r="P202" i="23" s="1"/>
  <c r="O144" i="23"/>
  <c r="O142" i="23"/>
  <c r="O93" i="23"/>
  <c r="P93" i="23" s="1"/>
  <c r="O86" i="23"/>
  <c r="P86" i="23" s="1"/>
  <c r="O30" i="23"/>
  <c r="O205" i="23"/>
  <c r="P205" i="23" s="1"/>
  <c r="O145" i="23"/>
  <c r="O33" i="23"/>
  <c r="Y18" i="23"/>
  <c r="O37" i="23"/>
  <c r="Y17" i="23"/>
  <c r="O200" i="23"/>
  <c r="P200" i="23" s="1"/>
  <c r="O147" i="23"/>
  <c r="O35" i="23"/>
  <c r="Y24" i="23"/>
  <c r="Y23" i="23"/>
  <c r="Y22" i="23"/>
  <c r="Y21" i="23"/>
  <c r="Y19" i="23"/>
  <c r="O36" i="23"/>
  <c r="Y20" i="23"/>
  <c r="O199" i="23"/>
  <c r="P199" i="23" s="1"/>
  <c r="O91" i="23"/>
  <c r="P91" i="23" s="1"/>
  <c r="O31" i="23"/>
  <c r="N519" i="23"/>
  <c r="N463" i="23"/>
  <c r="O295" i="23"/>
  <c r="P295" i="23" s="1"/>
  <c r="N631" i="23"/>
  <c r="N780" i="23"/>
  <c r="P444" i="23"/>
  <c r="O445" i="23"/>
  <c r="O389" i="23"/>
  <c r="P389" i="23" s="1"/>
  <c r="N603" i="23"/>
  <c r="N491" i="23"/>
  <c r="N435" i="23"/>
  <c r="O267" i="23"/>
  <c r="P267" i="23" s="1"/>
  <c r="Z24" i="23"/>
  <c r="Z23" i="23"/>
  <c r="Z22" i="23"/>
  <c r="Z21" i="23"/>
  <c r="Z20" i="23"/>
  <c r="Z17" i="23"/>
  <c r="Z19" i="23"/>
  <c r="Z18" i="23"/>
  <c r="O162" i="23"/>
  <c r="O51" i="23"/>
  <c r="O106" i="23"/>
  <c r="P50" i="23"/>
  <c r="N666" i="23"/>
  <c r="P666" i="23" s="1"/>
  <c r="I44" i="23"/>
  <c r="I50" i="23"/>
  <c r="I49" i="23"/>
  <c r="I51" i="23"/>
  <c r="I45" i="23"/>
  <c r="I46" i="23"/>
  <c r="I52" i="23"/>
  <c r="I48" i="23"/>
  <c r="I47" i="23"/>
  <c r="N798" i="23"/>
  <c r="P462" i="23"/>
  <c r="J24" i="22"/>
  <c r="I52" i="20"/>
  <c r="I45" i="20"/>
  <c r="I50" i="20"/>
  <c r="I47" i="20"/>
  <c r="AE24" i="21"/>
  <c r="AG24" i="21" s="1"/>
  <c r="AA24" i="21"/>
  <c r="AE19" i="21"/>
  <c r="AG19" i="21" s="1"/>
  <c r="AA19" i="21"/>
  <c r="AA17" i="21"/>
  <c r="AE17" i="21"/>
  <c r="AG17" i="21" s="1"/>
  <c r="AA18" i="21"/>
  <c r="AE18" i="21"/>
  <c r="AG18" i="21" s="1"/>
  <c r="O69" i="21"/>
  <c r="P68" i="21"/>
  <c r="AA21" i="21"/>
  <c r="AE21" i="21"/>
  <c r="AG21" i="21" s="1"/>
  <c r="P53" i="21"/>
  <c r="AA20" i="21"/>
  <c r="AE20" i="21"/>
  <c r="AG20" i="21" s="1"/>
  <c r="AA22" i="21"/>
  <c r="AE22" i="21"/>
  <c r="AG22" i="21" s="1"/>
  <c r="AA23" i="21"/>
  <c r="AE23" i="21"/>
  <c r="AG23" i="21" s="1"/>
  <c r="AA35" i="21"/>
  <c r="I51" i="20"/>
  <c r="I49" i="20"/>
  <c r="I46" i="20"/>
  <c r="J24" i="20"/>
  <c r="W760" i="13"/>
  <c r="P806" i="13"/>
  <c r="P802" i="13"/>
  <c r="P800" i="13"/>
  <c r="P808" i="13"/>
  <c r="P770" i="13"/>
  <c r="P776" i="13" s="1"/>
  <c r="P780" i="13"/>
  <c r="P788" i="13"/>
  <c r="P804" i="13"/>
  <c r="P763" i="13"/>
  <c r="P758" i="13"/>
  <c r="K74" i="13"/>
  <c r="K73" i="13"/>
  <c r="K68" i="13"/>
  <c r="K67" i="13"/>
  <c r="K74" i="12"/>
  <c r="K73" i="12"/>
  <c r="K68" i="12"/>
  <c r="K67" i="12"/>
  <c r="Q39" i="4"/>
  <c r="Q38" i="4"/>
  <c r="Q33" i="4"/>
  <c r="Q32" i="4"/>
  <c r="Q38" i="11"/>
  <c r="Q39" i="11"/>
  <c r="Q33" i="11"/>
  <c r="Q32" i="11"/>
  <c r="S92" i="15"/>
  <c r="S36" i="15"/>
  <c r="S35" i="15"/>
  <c r="F24" i="15"/>
  <c r="C16" i="15"/>
  <c r="D16" i="15"/>
  <c r="E16" i="15"/>
  <c r="E24" i="15" s="1"/>
  <c r="F16" i="15"/>
  <c r="G16" i="15"/>
  <c r="H16" i="15"/>
  <c r="I16" i="15"/>
  <c r="I24" i="15" s="1"/>
  <c r="C17" i="15"/>
  <c r="D17" i="15"/>
  <c r="E17" i="15"/>
  <c r="F17" i="15"/>
  <c r="G17" i="15"/>
  <c r="H17" i="15"/>
  <c r="I17" i="15"/>
  <c r="C18" i="15"/>
  <c r="D18" i="15"/>
  <c r="E18" i="15"/>
  <c r="F18" i="15"/>
  <c r="G18" i="15"/>
  <c r="H18" i="15"/>
  <c r="I18" i="15"/>
  <c r="C19" i="15"/>
  <c r="D19" i="15"/>
  <c r="E19" i="15"/>
  <c r="F19" i="15"/>
  <c r="G19" i="15"/>
  <c r="H19" i="15"/>
  <c r="I19" i="15"/>
  <c r="C20" i="15"/>
  <c r="D20" i="15"/>
  <c r="E20" i="15"/>
  <c r="F20" i="15"/>
  <c r="G20" i="15"/>
  <c r="H20" i="15"/>
  <c r="I20" i="15"/>
  <c r="C21" i="15"/>
  <c r="D21" i="15"/>
  <c r="E21" i="15"/>
  <c r="F21" i="15"/>
  <c r="G21" i="15"/>
  <c r="H21" i="15"/>
  <c r="I21" i="15"/>
  <c r="C22" i="15"/>
  <c r="D22" i="15"/>
  <c r="E22" i="15"/>
  <c r="F22" i="15"/>
  <c r="G22" i="15"/>
  <c r="H22" i="15"/>
  <c r="I22" i="15"/>
  <c r="C23" i="15"/>
  <c r="D23" i="15"/>
  <c r="E23" i="15"/>
  <c r="F23" i="15"/>
  <c r="G23" i="15"/>
  <c r="H23" i="15"/>
  <c r="I23" i="15"/>
  <c r="B17" i="15"/>
  <c r="B18" i="15"/>
  <c r="B19" i="15"/>
  <c r="J19" i="15" s="1"/>
  <c r="B20" i="15"/>
  <c r="J20" i="15" s="1"/>
  <c r="B21" i="15"/>
  <c r="B22" i="15"/>
  <c r="B23" i="15"/>
  <c r="J23" i="15" s="1"/>
  <c r="B16" i="15"/>
  <c r="J16" i="15" s="1"/>
  <c r="K61" i="17"/>
  <c r="J61" i="17"/>
  <c r="D61" i="17"/>
  <c r="E61" i="17" s="1"/>
  <c r="J60" i="17"/>
  <c r="K60" i="17" s="1"/>
  <c r="D60" i="17"/>
  <c r="E60" i="17" s="1"/>
  <c r="J59" i="17"/>
  <c r="K59" i="17" s="1"/>
  <c r="E59" i="17"/>
  <c r="D59" i="17"/>
  <c r="J58" i="17"/>
  <c r="K58" i="17" s="1"/>
  <c r="H58" i="17"/>
  <c r="I58" i="17" s="1"/>
  <c r="D58" i="17"/>
  <c r="E58" i="17" s="1"/>
  <c r="J57" i="17"/>
  <c r="K57" i="17" s="1"/>
  <c r="E57" i="17"/>
  <c r="D57" i="17"/>
  <c r="J56" i="17"/>
  <c r="K56" i="17" s="1"/>
  <c r="D56" i="17"/>
  <c r="E56" i="17" s="1"/>
  <c r="K55" i="17"/>
  <c r="J55" i="17"/>
  <c r="D55" i="17"/>
  <c r="E55" i="17" s="1"/>
  <c r="K52" i="17"/>
  <c r="E52" i="17"/>
  <c r="B52" i="17"/>
  <c r="B61" i="17" s="1"/>
  <c r="H51" i="17"/>
  <c r="H60" i="17" s="1"/>
  <c r="I60" i="17" s="1"/>
  <c r="E51" i="17"/>
  <c r="B51" i="17"/>
  <c r="H50" i="17"/>
  <c r="H59" i="17" s="1"/>
  <c r="I59" i="17" s="1"/>
  <c r="E50" i="17"/>
  <c r="K49" i="17"/>
  <c r="E49" i="17"/>
  <c r="K48" i="17"/>
  <c r="E48" i="17"/>
  <c r="E47" i="17"/>
  <c r="E46" i="17"/>
  <c r="E45" i="17"/>
  <c r="K44" i="17"/>
  <c r="J44" i="17"/>
  <c r="K51" i="17" s="1"/>
  <c r="E44" i="17"/>
  <c r="K42" i="17"/>
  <c r="E42" i="17"/>
  <c r="K39" i="17"/>
  <c r="H39" i="17"/>
  <c r="H52" i="17" s="1"/>
  <c r="H61" i="17" s="1"/>
  <c r="I61" i="17" s="1"/>
  <c r="E39" i="17"/>
  <c r="B39" i="17"/>
  <c r="K38" i="17"/>
  <c r="H38" i="17"/>
  <c r="E38" i="17"/>
  <c r="B38" i="17"/>
  <c r="K37" i="17"/>
  <c r="H37" i="17"/>
  <c r="E37" i="17"/>
  <c r="B37" i="17"/>
  <c r="B50" i="17" s="1"/>
  <c r="K36" i="17"/>
  <c r="H36" i="17"/>
  <c r="E36" i="17"/>
  <c r="B36" i="17"/>
  <c r="B49" i="17" s="1"/>
  <c r="K35" i="17"/>
  <c r="H35" i="17"/>
  <c r="E35" i="17"/>
  <c r="B35" i="17"/>
  <c r="K34" i="17"/>
  <c r="E34" i="17"/>
  <c r="B34" i="17"/>
  <c r="K33" i="17"/>
  <c r="H33" i="17"/>
  <c r="H48" i="17" s="1"/>
  <c r="H57" i="17" s="1"/>
  <c r="I57" i="17" s="1"/>
  <c r="E33" i="17"/>
  <c r="B33" i="17"/>
  <c r="K32" i="17"/>
  <c r="H32" i="17"/>
  <c r="E32" i="17"/>
  <c r="B32" i="17"/>
  <c r="B47" i="17" s="1"/>
  <c r="K31" i="17"/>
  <c r="H31" i="17"/>
  <c r="H46" i="17" s="1"/>
  <c r="H55" i="17" s="1"/>
  <c r="I55" i="17" s="1"/>
  <c r="E31" i="17"/>
  <c r="B31" i="17"/>
  <c r="K30" i="17"/>
  <c r="H30" i="17"/>
  <c r="H45" i="17" s="1"/>
  <c r="E30" i="17"/>
  <c r="B30" i="17"/>
  <c r="K29" i="17"/>
  <c r="E29" i="17"/>
  <c r="I11" i="17"/>
  <c r="H11" i="17"/>
  <c r="G11" i="17"/>
  <c r="F11" i="17"/>
  <c r="E11" i="17"/>
  <c r="D11" i="17"/>
  <c r="C11" i="17"/>
  <c r="B11" i="17"/>
  <c r="J10" i="17"/>
  <c r="J9" i="17"/>
  <c r="J8" i="17"/>
  <c r="J7" i="17"/>
  <c r="J6" i="17"/>
  <c r="J5" i="17"/>
  <c r="J4" i="17"/>
  <c r="J3" i="17"/>
  <c r="J4" i="16"/>
  <c r="J5" i="16"/>
  <c r="J6" i="16"/>
  <c r="J7" i="16"/>
  <c r="J8" i="16"/>
  <c r="J9" i="16"/>
  <c r="J10" i="16"/>
  <c r="J3" i="16"/>
  <c r="C11" i="16"/>
  <c r="D11" i="16"/>
  <c r="E11" i="16"/>
  <c r="F11" i="16"/>
  <c r="G11" i="16"/>
  <c r="H11" i="16"/>
  <c r="I11" i="16"/>
  <c r="B11" i="16"/>
  <c r="K61" i="16"/>
  <c r="J61" i="16"/>
  <c r="D61" i="16"/>
  <c r="E61" i="16" s="1"/>
  <c r="J60" i="16"/>
  <c r="K60" i="16" s="1"/>
  <c r="D60" i="16"/>
  <c r="E60" i="16" s="1"/>
  <c r="J59" i="16"/>
  <c r="K59" i="16" s="1"/>
  <c r="E59" i="16"/>
  <c r="D59" i="16"/>
  <c r="J58" i="16"/>
  <c r="K58" i="16" s="1"/>
  <c r="H58" i="16"/>
  <c r="I58" i="16" s="1"/>
  <c r="D58" i="16"/>
  <c r="E58" i="16" s="1"/>
  <c r="J57" i="16"/>
  <c r="K57" i="16" s="1"/>
  <c r="E57" i="16"/>
  <c r="D57" i="16"/>
  <c r="J56" i="16"/>
  <c r="K56" i="16" s="1"/>
  <c r="D56" i="16"/>
  <c r="E56" i="16" s="1"/>
  <c r="K55" i="16"/>
  <c r="J55" i="16"/>
  <c r="D55" i="16"/>
  <c r="E55" i="16" s="1"/>
  <c r="E52" i="16"/>
  <c r="B52" i="16"/>
  <c r="B61" i="16" s="1"/>
  <c r="H51" i="16"/>
  <c r="H60" i="16" s="1"/>
  <c r="I60" i="16" s="1"/>
  <c r="E51" i="16"/>
  <c r="B51" i="16"/>
  <c r="B60" i="16" s="1"/>
  <c r="H50" i="16"/>
  <c r="H59" i="16" s="1"/>
  <c r="I59" i="16" s="1"/>
  <c r="E50" i="16"/>
  <c r="E49" i="16"/>
  <c r="E48" i="16"/>
  <c r="E47" i="16"/>
  <c r="E46" i="16"/>
  <c r="E45" i="16"/>
  <c r="K44" i="16"/>
  <c r="J44" i="16"/>
  <c r="K52" i="16" s="1"/>
  <c r="E44" i="16"/>
  <c r="K42" i="16"/>
  <c r="E42" i="16"/>
  <c r="K39" i="16"/>
  <c r="H39" i="16"/>
  <c r="H52" i="16" s="1"/>
  <c r="E39" i="16"/>
  <c r="B39" i="16"/>
  <c r="K38" i="16"/>
  <c r="H38" i="16"/>
  <c r="E38" i="16"/>
  <c r="B38" i="16"/>
  <c r="K37" i="16"/>
  <c r="H37" i="16"/>
  <c r="E37" i="16"/>
  <c r="B37" i="16"/>
  <c r="B50" i="16" s="1"/>
  <c r="K36" i="16"/>
  <c r="H36" i="16"/>
  <c r="E36" i="16"/>
  <c r="B36" i="16"/>
  <c r="B49" i="16" s="1"/>
  <c r="K35" i="16"/>
  <c r="H35" i="16"/>
  <c r="E35" i="16"/>
  <c r="B35" i="16"/>
  <c r="K34" i="16"/>
  <c r="H42" i="16"/>
  <c r="E34" i="16"/>
  <c r="B34" i="16"/>
  <c r="B42" i="16" s="1"/>
  <c r="K33" i="16"/>
  <c r="H33" i="16"/>
  <c r="H48" i="16" s="1"/>
  <c r="E33" i="16"/>
  <c r="B33" i="16"/>
  <c r="B48" i="16" s="1"/>
  <c r="K32" i="16"/>
  <c r="H32" i="16"/>
  <c r="H47" i="16" s="1"/>
  <c r="E32" i="16"/>
  <c r="B32" i="16"/>
  <c r="B47" i="16" s="1"/>
  <c r="K31" i="16"/>
  <c r="H31" i="16"/>
  <c r="H46" i="16" s="1"/>
  <c r="E31" i="16"/>
  <c r="B31" i="16"/>
  <c r="B46" i="16" s="1"/>
  <c r="K30" i="16"/>
  <c r="H30" i="16"/>
  <c r="E30" i="16"/>
  <c r="B30" i="16"/>
  <c r="B45" i="16" s="1"/>
  <c r="K29" i="16"/>
  <c r="E29" i="16"/>
  <c r="K61" i="15"/>
  <c r="J61" i="15"/>
  <c r="E61" i="15"/>
  <c r="D61" i="15"/>
  <c r="J60" i="15"/>
  <c r="K60" i="15" s="1"/>
  <c r="D60" i="15"/>
  <c r="E60" i="15" s="1"/>
  <c r="K59" i="15"/>
  <c r="J59" i="15"/>
  <c r="E59" i="15"/>
  <c r="D59" i="15"/>
  <c r="J58" i="15"/>
  <c r="K58" i="15" s="1"/>
  <c r="H58" i="15"/>
  <c r="I58" i="15" s="1"/>
  <c r="D58" i="15"/>
  <c r="E58" i="15" s="1"/>
  <c r="J57" i="15"/>
  <c r="K57" i="15" s="1"/>
  <c r="D57" i="15"/>
  <c r="E57" i="15" s="1"/>
  <c r="J56" i="15"/>
  <c r="K56" i="15" s="1"/>
  <c r="D56" i="15"/>
  <c r="E56" i="15" s="1"/>
  <c r="J55" i="15"/>
  <c r="K55" i="15" s="1"/>
  <c r="D55" i="15"/>
  <c r="E55" i="15" s="1"/>
  <c r="E52" i="15"/>
  <c r="B52" i="15"/>
  <c r="B61" i="15" s="1"/>
  <c r="H51" i="15"/>
  <c r="H60" i="15" s="1"/>
  <c r="I60" i="15" s="1"/>
  <c r="E51" i="15"/>
  <c r="B51" i="15"/>
  <c r="B60" i="15" s="1"/>
  <c r="H50" i="15"/>
  <c r="H59" i="15" s="1"/>
  <c r="I59" i="15" s="1"/>
  <c r="E50" i="15"/>
  <c r="K49" i="15"/>
  <c r="E49" i="15"/>
  <c r="K48" i="15"/>
  <c r="E48" i="15"/>
  <c r="E47" i="15"/>
  <c r="E46" i="15"/>
  <c r="E45" i="15"/>
  <c r="K44" i="15"/>
  <c r="J44" i="15"/>
  <c r="K52" i="15" s="1"/>
  <c r="E44" i="15"/>
  <c r="K42" i="15"/>
  <c r="E42" i="15"/>
  <c r="K39" i="15"/>
  <c r="H39" i="15"/>
  <c r="H52" i="15" s="1"/>
  <c r="E39" i="15"/>
  <c r="B39" i="15"/>
  <c r="K38" i="15"/>
  <c r="H38" i="15"/>
  <c r="E38" i="15"/>
  <c r="B38" i="15"/>
  <c r="K37" i="15"/>
  <c r="H37" i="15"/>
  <c r="E37" i="15"/>
  <c r="B37" i="15"/>
  <c r="B50" i="15" s="1"/>
  <c r="K36" i="15"/>
  <c r="H36" i="15"/>
  <c r="E36" i="15"/>
  <c r="B36" i="15"/>
  <c r="B49" i="15" s="1"/>
  <c r="K35" i="15"/>
  <c r="H35" i="15"/>
  <c r="E35" i="15"/>
  <c r="B35" i="15"/>
  <c r="K34" i="15"/>
  <c r="H42" i="15"/>
  <c r="E34" i="15"/>
  <c r="B34" i="15"/>
  <c r="K33" i="15"/>
  <c r="H33" i="15"/>
  <c r="H48" i="15" s="1"/>
  <c r="E33" i="15"/>
  <c r="B33" i="15"/>
  <c r="B48" i="15" s="1"/>
  <c r="K32" i="15"/>
  <c r="H32" i="15"/>
  <c r="H47" i="15" s="1"/>
  <c r="E32" i="15"/>
  <c r="B32" i="15"/>
  <c r="B47" i="15" s="1"/>
  <c r="K31" i="15"/>
  <c r="H31" i="15"/>
  <c r="H46" i="15" s="1"/>
  <c r="E31" i="15"/>
  <c r="B31" i="15"/>
  <c r="B46" i="15" s="1"/>
  <c r="U30" i="15"/>
  <c r="V31" i="15" s="1"/>
  <c r="K30" i="15"/>
  <c r="H30" i="15"/>
  <c r="E30" i="15"/>
  <c r="B30" i="15"/>
  <c r="B45" i="15" s="1"/>
  <c r="K29" i="15"/>
  <c r="E29" i="15"/>
  <c r="AW78" i="12" l="1"/>
  <c r="AW59" i="12"/>
  <c r="P38" i="21"/>
  <c r="AY35" i="21"/>
  <c r="AY43" i="21"/>
  <c r="AL43" i="21"/>
  <c r="AJ36" i="21"/>
  <c r="AL36" i="21" s="1"/>
  <c r="Y37" i="21"/>
  <c r="AA37" i="21" s="1"/>
  <c r="O704" i="23"/>
  <c r="O648" i="23"/>
  <c r="O312" i="23"/>
  <c r="P312" i="23" s="1"/>
  <c r="O536" i="23"/>
  <c r="AK44" i="21"/>
  <c r="N45" i="21"/>
  <c r="P45" i="21" s="1"/>
  <c r="O647" i="23"/>
  <c r="O703" i="23"/>
  <c r="O311" i="23"/>
  <c r="P311" i="23" s="1"/>
  <c r="O535" i="23"/>
  <c r="P683" i="23"/>
  <c r="O322" i="23"/>
  <c r="P322" i="23" s="1"/>
  <c r="O714" i="23"/>
  <c r="O658" i="23"/>
  <c r="O546" i="23"/>
  <c r="O718" i="23"/>
  <c r="O662" i="23"/>
  <c r="O326" i="23"/>
  <c r="P326" i="23" s="1"/>
  <c r="O320" i="23"/>
  <c r="P320" i="23" s="1"/>
  <c r="O712" i="23"/>
  <c r="O544" i="23"/>
  <c r="O656" i="23"/>
  <c r="AY44" i="21"/>
  <c r="AJ44" i="21"/>
  <c r="AL44" i="21" s="1"/>
  <c r="Y45" i="21"/>
  <c r="AA44" i="21"/>
  <c r="AY54" i="21"/>
  <c r="AJ54" i="21"/>
  <c r="AL54" i="21" s="1"/>
  <c r="Y55" i="21"/>
  <c r="O705" i="23"/>
  <c r="O649" i="23"/>
  <c r="O313" i="23"/>
  <c r="P313" i="23" s="1"/>
  <c r="O537" i="23"/>
  <c r="O323" i="23"/>
  <c r="P323" i="23" s="1"/>
  <c r="O715" i="23"/>
  <c r="O659" i="23"/>
  <c r="O547" i="23"/>
  <c r="AK55" i="21"/>
  <c r="N56" i="21"/>
  <c r="O327" i="23"/>
  <c r="P327" i="23" s="1"/>
  <c r="O719" i="23"/>
  <c r="O663" i="23"/>
  <c r="O316" i="23"/>
  <c r="P316" i="23" s="1"/>
  <c r="O540" i="23"/>
  <c r="O652" i="23"/>
  <c r="O708" i="23"/>
  <c r="O661" i="23"/>
  <c r="O325" i="23"/>
  <c r="P325" i="23" s="1"/>
  <c r="O717" i="23"/>
  <c r="P44" i="21"/>
  <c r="N181" i="23"/>
  <c r="Z69" i="21"/>
  <c r="AA69" i="21" s="1"/>
  <c r="O54" i="21"/>
  <c r="P54" i="21" s="1"/>
  <c r="N165" i="23"/>
  <c r="Z53" i="21"/>
  <c r="AA53" i="21" s="1"/>
  <c r="AJ72" i="21"/>
  <c r="Y73" i="21"/>
  <c r="AY71" i="21"/>
  <c r="AK71" i="21"/>
  <c r="AL71" i="21" s="1"/>
  <c r="N72" i="21"/>
  <c r="O740" i="23"/>
  <c r="O684" i="23"/>
  <c r="O348" i="23"/>
  <c r="P348" i="23" s="1"/>
  <c r="O572" i="23"/>
  <c r="O324" i="23"/>
  <c r="P324" i="23" s="1"/>
  <c r="O716" i="23"/>
  <c r="O660" i="23"/>
  <c r="O713" i="23"/>
  <c r="O657" i="23"/>
  <c r="O321" i="23"/>
  <c r="P321" i="23" s="1"/>
  <c r="O545" i="23"/>
  <c r="O332" i="23"/>
  <c r="P332" i="23" s="1"/>
  <c r="O724" i="23"/>
  <c r="O668" i="23"/>
  <c r="O556" i="23"/>
  <c r="O709" i="23"/>
  <c r="O653" i="23"/>
  <c r="O541" i="23"/>
  <c r="O317" i="23"/>
  <c r="P317" i="23" s="1"/>
  <c r="O650" i="23"/>
  <c r="O314" i="23"/>
  <c r="P314" i="23" s="1"/>
  <c r="O538" i="23"/>
  <c r="O706" i="23"/>
  <c r="O646" i="23"/>
  <c r="O702" i="23"/>
  <c r="O534" i="23"/>
  <c r="O310" i="23"/>
  <c r="P310" i="23" s="1"/>
  <c r="O539" i="23"/>
  <c r="O707" i="23"/>
  <c r="O315" i="23"/>
  <c r="P315" i="23" s="1"/>
  <c r="O651" i="23"/>
  <c r="N659" i="23"/>
  <c r="P659" i="23" s="1"/>
  <c r="N715" i="23"/>
  <c r="P547" i="23"/>
  <c r="AE20" i="23"/>
  <c r="AG20" i="23" s="1"/>
  <c r="AA20" i="23"/>
  <c r="O595" i="23"/>
  <c r="O483" i="23"/>
  <c r="P483" i="23" s="1"/>
  <c r="P147" i="23"/>
  <c r="N539" i="23"/>
  <c r="O480" i="23"/>
  <c r="P480" i="23" s="1"/>
  <c r="P144" i="23"/>
  <c r="N536" i="23"/>
  <c r="N781" i="23"/>
  <c r="P445" i="23"/>
  <c r="P40" i="23"/>
  <c r="N656" i="23"/>
  <c r="P656" i="23" s="1"/>
  <c r="O494" i="23"/>
  <c r="P158" i="23"/>
  <c r="N632" i="23"/>
  <c r="N520" i="23"/>
  <c r="N464" i="23"/>
  <c r="O296" i="23"/>
  <c r="P296" i="23" s="1"/>
  <c r="AA23" i="23"/>
  <c r="AE23" i="23"/>
  <c r="AG23" i="23" s="1"/>
  <c r="P94" i="23"/>
  <c r="O597" i="23"/>
  <c r="O485" i="23"/>
  <c r="P485" i="23" s="1"/>
  <c r="N541" i="23"/>
  <c r="P149" i="23"/>
  <c r="N502" i="23"/>
  <c r="N446" i="23"/>
  <c r="O278" i="23"/>
  <c r="P278" i="23" s="1"/>
  <c r="N657" i="23"/>
  <c r="P41" i="23"/>
  <c r="O163" i="23"/>
  <c r="O52" i="23"/>
  <c r="O107" i="23"/>
  <c r="P51" i="23"/>
  <c r="N667" i="23"/>
  <c r="P667" i="23" s="1"/>
  <c r="N548" i="23"/>
  <c r="N660" i="23"/>
  <c r="N604" i="23"/>
  <c r="N436" i="23"/>
  <c r="N492" i="23"/>
  <c r="O268" i="23"/>
  <c r="P268" i="23" s="1"/>
  <c r="P44" i="23"/>
  <c r="P491" i="23"/>
  <c r="O390" i="23"/>
  <c r="P390" i="23" s="1"/>
  <c r="O446" i="23"/>
  <c r="N614" i="23" s="1"/>
  <c r="AA19" i="23"/>
  <c r="AE19" i="23"/>
  <c r="AG19" i="23" s="1"/>
  <c r="AA24" i="23"/>
  <c r="AE24" i="23"/>
  <c r="AG24" i="23" s="1"/>
  <c r="AE17" i="23"/>
  <c r="AG17" i="23" s="1"/>
  <c r="AA17" i="23"/>
  <c r="O481" i="23"/>
  <c r="P481" i="23" s="1"/>
  <c r="O593" i="23"/>
  <c r="P145" i="23"/>
  <c r="N537" i="23"/>
  <c r="O591" i="23"/>
  <c r="O479" i="23"/>
  <c r="P479" i="23" s="1"/>
  <c r="P143" i="23"/>
  <c r="N535" i="23"/>
  <c r="O69" i="23"/>
  <c r="O180" i="23"/>
  <c r="P68" i="23"/>
  <c r="O124" i="23"/>
  <c r="N684" i="23"/>
  <c r="P684" i="23" s="1"/>
  <c r="O493" i="23"/>
  <c r="O605" i="23"/>
  <c r="O773" i="23" s="1"/>
  <c r="P157" i="23"/>
  <c r="N658" i="23"/>
  <c r="P42" i="23"/>
  <c r="P216" i="23"/>
  <c r="O488" i="23"/>
  <c r="P488" i="23" s="1"/>
  <c r="P152" i="23"/>
  <c r="N544" i="23"/>
  <c r="O491" i="23"/>
  <c r="P155" i="23"/>
  <c r="AA22" i="23"/>
  <c r="AE22" i="23"/>
  <c r="AG22" i="23" s="1"/>
  <c r="AE18" i="23"/>
  <c r="AG18" i="23" s="1"/>
  <c r="AA18" i="23"/>
  <c r="P30" i="23"/>
  <c r="P38" i="23" s="1"/>
  <c r="N646" i="23"/>
  <c r="P34" i="23"/>
  <c r="N650" i="23"/>
  <c r="P650" i="23" s="1"/>
  <c r="P206" i="23"/>
  <c r="O218" i="23"/>
  <c r="P218" i="23" s="1"/>
  <c r="P106" i="23"/>
  <c r="N771" i="23"/>
  <c r="P435" i="23"/>
  <c r="N799" i="23"/>
  <c r="P463" i="23"/>
  <c r="P31" i="23"/>
  <c r="N647" i="23"/>
  <c r="P36" i="23"/>
  <c r="N652" i="23"/>
  <c r="P33" i="23"/>
  <c r="N649" i="23"/>
  <c r="O235" i="23"/>
  <c r="P235" i="23" s="1"/>
  <c r="P123" i="23"/>
  <c r="O610" i="23"/>
  <c r="O498" i="23"/>
  <c r="P498" i="23" s="1"/>
  <c r="P162" i="23"/>
  <c r="N554" i="23"/>
  <c r="AA21" i="23"/>
  <c r="AE21" i="23"/>
  <c r="AG21" i="23" s="1"/>
  <c r="P35" i="23"/>
  <c r="N651" i="23"/>
  <c r="P37" i="23"/>
  <c r="N653" i="23"/>
  <c r="P653" i="23" s="1"/>
  <c r="O478" i="23"/>
  <c r="P478" i="23" s="1"/>
  <c r="P142" i="23"/>
  <c r="O590" i="23"/>
  <c r="N534" i="23"/>
  <c r="P32" i="23"/>
  <c r="N648" i="23"/>
  <c r="P648" i="23" s="1"/>
  <c r="O594" i="23"/>
  <c r="O482" i="23"/>
  <c r="P482" i="23" s="1"/>
  <c r="N538" i="23"/>
  <c r="P146" i="23"/>
  <c r="O596" i="23"/>
  <c r="O484" i="23"/>
  <c r="P484" i="23" s="1"/>
  <c r="P148" i="23"/>
  <c r="N540" i="23"/>
  <c r="O627" i="23"/>
  <c r="O515" i="23"/>
  <c r="P515" i="23" s="1"/>
  <c r="P179" i="23"/>
  <c r="N571" i="23"/>
  <c r="O601" i="23"/>
  <c r="O489" i="23"/>
  <c r="P489" i="23" s="1"/>
  <c r="P153" i="23"/>
  <c r="N545" i="23"/>
  <c r="O490" i="23"/>
  <c r="P490" i="23" s="1"/>
  <c r="O602" i="23"/>
  <c r="P154" i="23"/>
  <c r="N546" i="23"/>
  <c r="O604" i="23"/>
  <c r="O772" i="23" s="1"/>
  <c r="O492" i="23"/>
  <c r="P156" i="23"/>
  <c r="O607" i="23"/>
  <c r="O775" i="23" s="1"/>
  <c r="O495" i="23"/>
  <c r="P159" i="23"/>
  <c r="O549" i="23"/>
  <c r="O381" i="23"/>
  <c r="P381" i="23" s="1"/>
  <c r="O437" i="23"/>
  <c r="P101" i="23"/>
  <c r="AA36" i="21"/>
  <c r="AG25" i="21"/>
  <c r="O70" i="21"/>
  <c r="P69" i="21"/>
  <c r="AA25" i="21"/>
  <c r="P793" i="13"/>
  <c r="O99" i="15"/>
  <c r="O97" i="15"/>
  <c r="O96" i="15"/>
  <c r="J11" i="16"/>
  <c r="F12" i="16" s="1"/>
  <c r="J21" i="15"/>
  <c r="J17" i="15"/>
  <c r="O103" i="15" s="1"/>
  <c r="G24" i="15"/>
  <c r="C24" i="15"/>
  <c r="B24" i="15"/>
  <c r="J22" i="15"/>
  <c r="J18" i="15"/>
  <c r="H24" i="15"/>
  <c r="D24" i="15"/>
  <c r="V30" i="15"/>
  <c r="K46" i="15"/>
  <c r="K46" i="16"/>
  <c r="K46" i="17"/>
  <c r="K50" i="17"/>
  <c r="V32" i="15"/>
  <c r="B45" i="17"/>
  <c r="B46" i="17"/>
  <c r="H47" i="17"/>
  <c r="B48" i="17"/>
  <c r="H42" i="17"/>
  <c r="B42" i="17"/>
  <c r="B59" i="17"/>
  <c r="J11" i="17"/>
  <c r="B56" i="17"/>
  <c r="B58" i="17"/>
  <c r="B60" i="17"/>
  <c r="K45" i="17"/>
  <c r="K47" i="17"/>
  <c r="B55" i="16"/>
  <c r="H55" i="16"/>
  <c r="I55" i="16" s="1"/>
  <c r="B56" i="16"/>
  <c r="H56" i="16"/>
  <c r="I56" i="16" s="1"/>
  <c r="B57" i="16"/>
  <c r="H57" i="16"/>
  <c r="I57" i="16" s="1"/>
  <c r="B58" i="16"/>
  <c r="B59" i="16"/>
  <c r="H61" i="16"/>
  <c r="I61" i="16" s="1"/>
  <c r="H45" i="16"/>
  <c r="K45" i="16"/>
  <c r="K47" i="16"/>
  <c r="K51" i="16"/>
  <c r="K48" i="16"/>
  <c r="K49" i="16"/>
  <c r="K50" i="16"/>
  <c r="B42" i="15"/>
  <c r="B59" i="15"/>
  <c r="B12" i="15"/>
  <c r="B55" i="15"/>
  <c r="H55" i="15"/>
  <c r="I55" i="15" s="1"/>
  <c r="B57" i="15"/>
  <c r="H57" i="15"/>
  <c r="I57" i="15" s="1"/>
  <c r="B56" i="15"/>
  <c r="H56" i="15"/>
  <c r="I56" i="15" s="1"/>
  <c r="B58" i="15"/>
  <c r="H61" i="15"/>
  <c r="I61" i="15" s="1"/>
  <c r="K3" i="15"/>
  <c r="K9" i="15"/>
  <c r="H12" i="15"/>
  <c r="K4" i="15"/>
  <c r="K6" i="15"/>
  <c r="K8" i="15"/>
  <c r="K10" i="15"/>
  <c r="H45" i="15"/>
  <c r="K45" i="15"/>
  <c r="K47" i="15"/>
  <c r="K51" i="15"/>
  <c r="K50" i="15"/>
  <c r="W703" i="13"/>
  <c r="V702" i="13"/>
  <c r="W704" i="13" s="1"/>
  <c r="T651" i="13"/>
  <c r="V646" i="13" s="1"/>
  <c r="V534" i="13"/>
  <c r="W535" i="13" s="1"/>
  <c r="V478" i="13"/>
  <c r="W480" i="13" s="1"/>
  <c r="AL17" i="11"/>
  <c r="AM18" i="11" s="1"/>
  <c r="AL17" i="12"/>
  <c r="AM18" i="12" s="1"/>
  <c r="AL17" i="13"/>
  <c r="AM18" i="13" s="1"/>
  <c r="E30" i="13"/>
  <c r="AW79" i="12" l="1"/>
  <c r="AW60" i="12"/>
  <c r="P646" i="23"/>
  <c r="O606" i="23"/>
  <c r="O774" i="23" s="1"/>
  <c r="P328" i="23"/>
  <c r="P649" i="23"/>
  <c r="P647" i="23"/>
  <c r="P658" i="23"/>
  <c r="O592" i="23"/>
  <c r="O760" i="23" s="1"/>
  <c r="P760" i="23" s="1"/>
  <c r="P715" i="23"/>
  <c r="Z70" i="21"/>
  <c r="AA70" i="21" s="1"/>
  <c r="N182" i="23"/>
  <c r="P651" i="23"/>
  <c r="P654" i="23" s="1"/>
  <c r="P652" i="23"/>
  <c r="P660" i="23"/>
  <c r="P657" i="23"/>
  <c r="AY37" i="21"/>
  <c r="AY38" i="21" s="1"/>
  <c r="AJ37" i="21"/>
  <c r="AL37" i="21" s="1"/>
  <c r="O603" i="23"/>
  <c r="O771" i="23" s="1"/>
  <c r="O600" i="23"/>
  <c r="O768" i="23" s="1"/>
  <c r="P768" i="23" s="1"/>
  <c r="P318" i="23"/>
  <c r="AJ73" i="21"/>
  <c r="Y74" i="21"/>
  <c r="O669" i="23"/>
  <c r="O725" i="23"/>
  <c r="O333" i="23"/>
  <c r="P333" i="23" s="1"/>
  <c r="O557" i="23"/>
  <c r="O685" i="23"/>
  <c r="O349" i="23"/>
  <c r="P349" i="23" s="1"/>
  <c r="O741" i="23"/>
  <c r="O573" i="23"/>
  <c r="AK56" i="21"/>
  <c r="N57" i="21"/>
  <c r="AY55" i="21"/>
  <c r="AJ55" i="21"/>
  <c r="AL55" i="21" s="1"/>
  <c r="Y56" i="21"/>
  <c r="AJ45" i="21"/>
  <c r="Y46" i="21"/>
  <c r="AA45" i="21"/>
  <c r="AK45" i="21"/>
  <c r="N46" i="21"/>
  <c r="AY36" i="21"/>
  <c r="AA38" i="21"/>
  <c r="AK72" i="21"/>
  <c r="AL72" i="21" s="1"/>
  <c r="AY72" i="21"/>
  <c r="N73" i="21"/>
  <c r="O55" i="21"/>
  <c r="N166" i="23"/>
  <c r="Z54" i="21"/>
  <c r="AA54" i="21" s="1"/>
  <c r="AL38" i="21"/>
  <c r="N708" i="23"/>
  <c r="P708" i="23" s="1"/>
  <c r="P540" i="23"/>
  <c r="P535" i="23"/>
  <c r="N703" i="23"/>
  <c r="P703" i="23" s="1"/>
  <c r="O447" i="23"/>
  <c r="O391" i="23"/>
  <c r="P391" i="23" s="1"/>
  <c r="P492" i="23"/>
  <c r="N716" i="23"/>
  <c r="P716" i="23" s="1"/>
  <c r="P548" i="23"/>
  <c r="N704" i="23"/>
  <c r="P704" i="23" s="1"/>
  <c r="P536" i="23"/>
  <c r="P539" i="23"/>
  <c r="N707" i="23"/>
  <c r="P707" i="23" s="1"/>
  <c r="O769" i="23"/>
  <c r="P769" i="23" s="1"/>
  <c r="P601" i="23"/>
  <c r="N706" i="23"/>
  <c r="P706" i="23" s="1"/>
  <c r="P538" i="23"/>
  <c r="N712" i="23"/>
  <c r="P712" i="23" s="1"/>
  <c r="P544" i="23"/>
  <c r="AG25" i="23"/>
  <c r="N772" i="23"/>
  <c r="P772" i="23" s="1"/>
  <c r="P436" i="23"/>
  <c r="O611" i="23"/>
  <c r="O499" i="23"/>
  <c r="P499" i="23" s="1"/>
  <c r="P163" i="23"/>
  <c r="N555" i="23"/>
  <c r="N633" i="23"/>
  <c r="N521" i="23"/>
  <c r="N465" i="23"/>
  <c r="O297" i="23"/>
  <c r="P297" i="23" s="1"/>
  <c r="N714" i="23"/>
  <c r="P714" i="23" s="1"/>
  <c r="P546" i="23"/>
  <c r="P545" i="23"/>
  <c r="N713" i="23"/>
  <c r="P713" i="23" s="1"/>
  <c r="P534" i="23"/>
  <c r="N702" i="23"/>
  <c r="P702" i="23" s="1"/>
  <c r="P603" i="23"/>
  <c r="O778" i="23"/>
  <c r="P778" i="23" s="1"/>
  <c r="P610" i="23"/>
  <c r="P160" i="23"/>
  <c r="O516" i="23"/>
  <c r="P516" i="23" s="1"/>
  <c r="O628" i="23"/>
  <c r="P180" i="23"/>
  <c r="N572" i="23"/>
  <c r="O761" i="23"/>
  <c r="P761" i="23" s="1"/>
  <c r="P593" i="23"/>
  <c r="P604" i="23"/>
  <c r="O550" i="23"/>
  <c r="O438" i="23"/>
  <c r="O382" i="23"/>
  <c r="P382" i="23" s="1"/>
  <c r="P102" i="23"/>
  <c r="O770" i="23"/>
  <c r="P770" i="23" s="1"/>
  <c r="P602" i="23"/>
  <c r="N739" i="23"/>
  <c r="P739" i="23" s="1"/>
  <c r="P571" i="23"/>
  <c r="P150" i="23"/>
  <c r="O236" i="23"/>
  <c r="P236" i="23" s="1"/>
  <c r="P124" i="23"/>
  <c r="N705" i="23"/>
  <c r="P705" i="23" s="1"/>
  <c r="P537" i="23"/>
  <c r="AA25" i="23"/>
  <c r="O108" i="23"/>
  <c r="O53" i="23"/>
  <c r="O164" i="23"/>
  <c r="P52" i="23"/>
  <c r="N668" i="23"/>
  <c r="P668" i="23" s="1"/>
  <c r="P486" i="23"/>
  <c r="N447" i="23"/>
  <c r="N615" i="23"/>
  <c r="O279" i="23"/>
  <c r="P279" i="23" s="1"/>
  <c r="N503" i="23"/>
  <c r="N782" i="23"/>
  <c r="P446" i="23"/>
  <c r="O765" i="23"/>
  <c r="P765" i="23" s="1"/>
  <c r="P597" i="23"/>
  <c r="O795" i="23"/>
  <c r="P795" i="23" s="1"/>
  <c r="P627" i="23"/>
  <c r="O764" i="23"/>
  <c r="P764" i="23" s="1"/>
  <c r="P596" i="23"/>
  <c r="O762" i="23"/>
  <c r="P762" i="23" s="1"/>
  <c r="P594" i="23"/>
  <c r="O758" i="23"/>
  <c r="P758" i="23" s="1"/>
  <c r="P590" i="23"/>
  <c r="N722" i="23"/>
  <c r="P722" i="23" s="1"/>
  <c r="P554" i="23"/>
  <c r="P771" i="23"/>
  <c r="O181" i="23"/>
  <c r="O70" i="23"/>
  <c r="O125" i="23"/>
  <c r="N685" i="23"/>
  <c r="P685" i="23" s="1"/>
  <c r="P69" i="23"/>
  <c r="O759" i="23"/>
  <c r="P759" i="23" s="1"/>
  <c r="P591" i="23"/>
  <c r="N661" i="23"/>
  <c r="P661" i="23" s="1"/>
  <c r="N493" i="23"/>
  <c r="P493" i="23" s="1"/>
  <c r="N605" i="23"/>
  <c r="P605" i="23" s="1"/>
  <c r="N549" i="23"/>
  <c r="O269" i="23"/>
  <c r="P269" i="23" s="1"/>
  <c r="P45" i="23"/>
  <c r="N437" i="23"/>
  <c r="O219" i="23"/>
  <c r="P219" i="23" s="1"/>
  <c r="P107" i="23"/>
  <c r="N709" i="23"/>
  <c r="P709" i="23" s="1"/>
  <c r="P541" i="23"/>
  <c r="N800" i="23"/>
  <c r="P464" i="23"/>
  <c r="O763" i="23"/>
  <c r="P763" i="23" s="1"/>
  <c r="P595" i="23"/>
  <c r="P46" i="21"/>
  <c r="O71" i="21"/>
  <c r="P70" i="21"/>
  <c r="K3" i="16"/>
  <c r="O98" i="15"/>
  <c r="W702" i="13"/>
  <c r="C12" i="17"/>
  <c r="S147" i="15"/>
  <c r="S91" i="15"/>
  <c r="U86" i="15" s="1"/>
  <c r="O100" i="15"/>
  <c r="O102" i="15"/>
  <c r="O93" i="15"/>
  <c r="O91" i="15"/>
  <c r="O88" i="15"/>
  <c r="O86" i="15"/>
  <c r="O32" i="15"/>
  <c r="O36" i="15"/>
  <c r="O90" i="15"/>
  <c r="O33" i="15"/>
  <c r="O37" i="15"/>
  <c r="O92" i="15"/>
  <c r="O87" i="15"/>
  <c r="O34" i="15"/>
  <c r="O31" i="15"/>
  <c r="O89" i="15"/>
  <c r="O35" i="15"/>
  <c r="J24" i="15"/>
  <c r="D16" i="16"/>
  <c r="H16" i="16"/>
  <c r="E17" i="16"/>
  <c r="I17" i="16"/>
  <c r="F18" i="16"/>
  <c r="C19" i="16"/>
  <c r="G19" i="16"/>
  <c r="D20" i="16"/>
  <c r="H20" i="16"/>
  <c r="E21" i="16"/>
  <c r="I21" i="16"/>
  <c r="F22" i="16"/>
  <c r="C23" i="16"/>
  <c r="G23" i="16"/>
  <c r="B18" i="16"/>
  <c r="B22" i="16"/>
  <c r="E16" i="16"/>
  <c r="I16" i="16"/>
  <c r="F17" i="16"/>
  <c r="C18" i="16"/>
  <c r="G18" i="16"/>
  <c r="D19" i="16"/>
  <c r="H19" i="16"/>
  <c r="E20" i="16"/>
  <c r="I20" i="16"/>
  <c r="F21" i="16"/>
  <c r="C22" i="16"/>
  <c r="G22" i="16"/>
  <c r="D23" i="16"/>
  <c r="H23" i="16"/>
  <c r="B19" i="16"/>
  <c r="B23" i="16"/>
  <c r="J23" i="16" s="1"/>
  <c r="B29" i="16"/>
  <c r="H29" i="16"/>
  <c r="I12" i="16"/>
  <c r="E12" i="16"/>
  <c r="F16" i="16"/>
  <c r="C17" i="16"/>
  <c r="G17" i="16"/>
  <c r="D18" i="16"/>
  <c r="H18" i="16"/>
  <c r="E19" i="16"/>
  <c r="I19" i="16"/>
  <c r="F20" i="16"/>
  <c r="C21" i="16"/>
  <c r="G21" i="16"/>
  <c r="D22" i="16"/>
  <c r="H22" i="16"/>
  <c r="E23" i="16"/>
  <c r="I23" i="16"/>
  <c r="B20" i="16"/>
  <c r="B16" i="16"/>
  <c r="C16" i="16"/>
  <c r="E18" i="16"/>
  <c r="G20" i="16"/>
  <c r="I22" i="16"/>
  <c r="G12" i="16"/>
  <c r="K9" i="16"/>
  <c r="K4" i="16"/>
  <c r="S148" i="15"/>
  <c r="G16" i="16"/>
  <c r="F23" i="16"/>
  <c r="D17" i="16"/>
  <c r="F19" i="16"/>
  <c r="H21" i="16"/>
  <c r="B17" i="16"/>
  <c r="C12" i="16"/>
  <c r="K6" i="16"/>
  <c r="D21" i="16"/>
  <c r="K8" i="16"/>
  <c r="H17" i="16"/>
  <c r="C20" i="16"/>
  <c r="E22" i="16"/>
  <c r="B21" i="16"/>
  <c r="H12" i="16"/>
  <c r="K10" i="16"/>
  <c r="K5" i="16"/>
  <c r="I18" i="16"/>
  <c r="D12" i="16"/>
  <c r="K7" i="16"/>
  <c r="B12" i="16"/>
  <c r="O101" i="15"/>
  <c r="B57" i="17"/>
  <c r="H56" i="17"/>
  <c r="I56" i="17" s="1"/>
  <c r="B55" i="17"/>
  <c r="G12" i="17"/>
  <c r="H29" i="17"/>
  <c r="I23" i="17"/>
  <c r="G23" i="17"/>
  <c r="E23" i="17"/>
  <c r="C23" i="17"/>
  <c r="H22" i="17"/>
  <c r="F22" i="17"/>
  <c r="D22" i="17"/>
  <c r="B22" i="17"/>
  <c r="I21" i="17"/>
  <c r="G21" i="17"/>
  <c r="E21" i="17"/>
  <c r="C21" i="17"/>
  <c r="H20" i="17"/>
  <c r="F20" i="17"/>
  <c r="D20" i="17"/>
  <c r="B20" i="17"/>
  <c r="I19" i="17"/>
  <c r="G19" i="17"/>
  <c r="E19" i="17"/>
  <c r="C19" i="17"/>
  <c r="H18" i="17"/>
  <c r="F18" i="17"/>
  <c r="D18" i="17"/>
  <c r="B18" i="17"/>
  <c r="I17" i="17"/>
  <c r="G17" i="17"/>
  <c r="E17" i="17"/>
  <c r="C17" i="17"/>
  <c r="H16" i="17"/>
  <c r="F16" i="17"/>
  <c r="D16" i="17"/>
  <c r="B16" i="17"/>
  <c r="F23" i="17"/>
  <c r="B23" i="17"/>
  <c r="G22" i="17"/>
  <c r="C22" i="17"/>
  <c r="H21" i="17"/>
  <c r="D21" i="17"/>
  <c r="I20" i="17"/>
  <c r="E20" i="17"/>
  <c r="F19" i="17"/>
  <c r="B19" i="17"/>
  <c r="G18" i="17"/>
  <c r="C18" i="17"/>
  <c r="H17" i="17"/>
  <c r="D17" i="17"/>
  <c r="I16" i="17"/>
  <c r="E16" i="17"/>
  <c r="F12" i="17"/>
  <c r="B12" i="17"/>
  <c r="B29" i="17"/>
  <c r="H23" i="17"/>
  <c r="D23" i="17"/>
  <c r="I22" i="17"/>
  <c r="E22" i="17"/>
  <c r="F21" i="17"/>
  <c r="B21" i="17"/>
  <c r="G20" i="17"/>
  <c r="C20" i="17"/>
  <c r="H19" i="17"/>
  <c r="D19" i="17"/>
  <c r="I18" i="17"/>
  <c r="E18" i="17"/>
  <c r="F17" i="17"/>
  <c r="B17" i="17"/>
  <c r="G16" i="17"/>
  <c r="C16" i="17"/>
  <c r="H12" i="17"/>
  <c r="D12" i="17"/>
  <c r="K10" i="17"/>
  <c r="K9" i="17"/>
  <c r="K8" i="17"/>
  <c r="K7" i="17"/>
  <c r="K6" i="17"/>
  <c r="K5" i="17"/>
  <c r="K4" i="17"/>
  <c r="K3" i="17"/>
  <c r="I12" i="17"/>
  <c r="E12" i="17"/>
  <c r="B29" i="15"/>
  <c r="H29" i="15"/>
  <c r="G12" i="15"/>
  <c r="C12" i="15"/>
  <c r="I12" i="15"/>
  <c r="E12" i="15"/>
  <c r="J12" i="15" s="1"/>
  <c r="D12" i="15"/>
  <c r="K7" i="15"/>
  <c r="F12" i="15"/>
  <c r="K5" i="15"/>
  <c r="W648" i="13"/>
  <c r="W646" i="13"/>
  <c r="W647" i="13"/>
  <c r="V590" i="13"/>
  <c r="W591" i="13" s="1"/>
  <c r="W534" i="13"/>
  <c r="W536" i="13"/>
  <c r="W478" i="13"/>
  <c r="W479" i="13"/>
  <c r="AM17" i="11"/>
  <c r="AM19" i="11"/>
  <c r="AM17" i="12"/>
  <c r="AM19" i="12"/>
  <c r="AM17" i="13"/>
  <c r="AM19" i="13"/>
  <c r="J61" i="13"/>
  <c r="K61" i="13" s="1"/>
  <c r="D61" i="13"/>
  <c r="E61" i="13" s="1"/>
  <c r="J60" i="13"/>
  <c r="K60" i="13" s="1"/>
  <c r="D60" i="13"/>
  <c r="E60" i="13" s="1"/>
  <c r="J59" i="13"/>
  <c r="K59" i="13" s="1"/>
  <c r="E59" i="13"/>
  <c r="D59" i="13"/>
  <c r="B59" i="13"/>
  <c r="K58" i="13"/>
  <c r="J58" i="13"/>
  <c r="H58" i="13"/>
  <c r="I58" i="13"/>
  <c r="D58" i="13"/>
  <c r="E58" i="13" s="1"/>
  <c r="K57" i="13"/>
  <c r="J57" i="13"/>
  <c r="E57" i="13"/>
  <c r="D57" i="13"/>
  <c r="K56" i="13"/>
  <c r="J56" i="13"/>
  <c r="I56" i="13"/>
  <c r="D56" i="13"/>
  <c r="E56" i="13" s="1"/>
  <c r="J55" i="13"/>
  <c r="K55" i="13" s="1"/>
  <c r="D55" i="13"/>
  <c r="E55" i="13" s="1"/>
  <c r="K61" i="12"/>
  <c r="J61" i="12"/>
  <c r="D61" i="12"/>
  <c r="E61" i="12" s="1"/>
  <c r="J60" i="12"/>
  <c r="K60" i="12" s="1"/>
  <c r="D60" i="12"/>
  <c r="E60" i="12" s="1"/>
  <c r="J59" i="12"/>
  <c r="K59" i="12" s="1"/>
  <c r="E59" i="12"/>
  <c r="D59" i="12"/>
  <c r="K58" i="12"/>
  <c r="J58" i="12"/>
  <c r="H58" i="12"/>
  <c r="I58" i="12" s="1"/>
  <c r="D58" i="12"/>
  <c r="E58" i="12" s="1"/>
  <c r="K57" i="12"/>
  <c r="J57" i="12"/>
  <c r="E57" i="12"/>
  <c r="D57" i="12"/>
  <c r="J56" i="12"/>
  <c r="K56" i="12" s="1"/>
  <c r="D56" i="12"/>
  <c r="E56" i="12" s="1"/>
  <c r="K55" i="12"/>
  <c r="J55" i="12"/>
  <c r="D55" i="12"/>
  <c r="E55" i="12" s="1"/>
  <c r="J61" i="11"/>
  <c r="K61" i="11" s="1"/>
  <c r="D61" i="11"/>
  <c r="E61" i="11" s="1"/>
  <c r="J60" i="11"/>
  <c r="K60" i="11" s="1"/>
  <c r="D60" i="11"/>
  <c r="E60" i="11"/>
  <c r="J59" i="11"/>
  <c r="K59" i="11" s="1"/>
  <c r="D59" i="11"/>
  <c r="E59" i="11" s="1"/>
  <c r="J58" i="11"/>
  <c r="K58" i="11"/>
  <c r="H58" i="11"/>
  <c r="I58" i="11" s="1"/>
  <c r="D58" i="11"/>
  <c r="E58" i="11" s="1"/>
  <c r="J57" i="11"/>
  <c r="K57" i="11" s="1"/>
  <c r="D57" i="11"/>
  <c r="E57" i="11" s="1"/>
  <c r="J56" i="11"/>
  <c r="K56" i="11" s="1"/>
  <c r="D56" i="11"/>
  <c r="E56" i="11" s="1"/>
  <c r="J55" i="11"/>
  <c r="K55" i="11" s="1"/>
  <c r="D55" i="11"/>
  <c r="E55" i="11" s="1"/>
  <c r="D56" i="4"/>
  <c r="E56" i="4" s="1"/>
  <c r="D57" i="4"/>
  <c r="E57" i="4" s="1"/>
  <c r="D58" i="4"/>
  <c r="E58" i="4" s="1"/>
  <c r="D59" i="4"/>
  <c r="E59" i="4"/>
  <c r="D60" i="4"/>
  <c r="D61" i="4"/>
  <c r="E61" i="4" s="1"/>
  <c r="D55" i="4"/>
  <c r="E55" i="4"/>
  <c r="J56" i="4"/>
  <c r="K56" i="4" s="1"/>
  <c r="J57" i="4"/>
  <c r="K57" i="4" s="1"/>
  <c r="J58" i="4"/>
  <c r="K58" i="4" s="1"/>
  <c r="J59" i="4"/>
  <c r="K59" i="4" s="1"/>
  <c r="J60" i="4"/>
  <c r="J61" i="4"/>
  <c r="J55" i="4"/>
  <c r="K55" i="4" s="1"/>
  <c r="H58" i="4"/>
  <c r="I58" i="4" s="1"/>
  <c r="K60" i="4"/>
  <c r="K61" i="4"/>
  <c r="E60" i="4"/>
  <c r="B37" i="13"/>
  <c r="B50" i="13" s="1"/>
  <c r="V422" i="13"/>
  <c r="W424" i="13" s="1"/>
  <c r="W423" i="13"/>
  <c r="V366" i="13"/>
  <c r="V310" i="13"/>
  <c r="W312" i="13" s="1"/>
  <c r="V254" i="13"/>
  <c r="V198" i="13"/>
  <c r="W199" i="13" s="1"/>
  <c r="W422" i="13"/>
  <c r="W367" i="13"/>
  <c r="W311" i="13"/>
  <c r="W198" i="13"/>
  <c r="V142" i="13"/>
  <c r="V86" i="13"/>
  <c r="W86" i="13" s="1"/>
  <c r="E11" i="13"/>
  <c r="U30" i="13"/>
  <c r="V31" i="13" s="1"/>
  <c r="E52" i="13"/>
  <c r="B52" i="13"/>
  <c r="B61" i="13" s="1"/>
  <c r="H51" i="13"/>
  <c r="H60" i="13" s="1"/>
  <c r="I60" i="13" s="1"/>
  <c r="E51" i="13"/>
  <c r="B51" i="13"/>
  <c r="B60" i="13" s="1"/>
  <c r="H50" i="13"/>
  <c r="H59" i="13" s="1"/>
  <c r="I59" i="13" s="1"/>
  <c r="E50" i="13"/>
  <c r="E49" i="13"/>
  <c r="E48" i="13"/>
  <c r="E47" i="13"/>
  <c r="E46" i="13"/>
  <c r="E45" i="13"/>
  <c r="J44" i="13"/>
  <c r="K52" i="13" s="1"/>
  <c r="E44" i="13"/>
  <c r="K42" i="13"/>
  <c r="E42" i="13"/>
  <c r="K39" i="13"/>
  <c r="H39" i="13"/>
  <c r="E39" i="13"/>
  <c r="B39" i="13"/>
  <c r="K38" i="13"/>
  <c r="H38" i="13"/>
  <c r="H73" i="13" s="1"/>
  <c r="I73" i="13" s="1"/>
  <c r="E38" i="13"/>
  <c r="B38" i="13"/>
  <c r="K37" i="13"/>
  <c r="H37" i="13"/>
  <c r="E37" i="13"/>
  <c r="K36" i="13"/>
  <c r="H36" i="13"/>
  <c r="E36" i="13"/>
  <c r="B36" i="13"/>
  <c r="B49" i="13" s="1"/>
  <c r="B58" i="13" s="1"/>
  <c r="K35" i="13"/>
  <c r="H35" i="13"/>
  <c r="E35" i="13"/>
  <c r="B35" i="13"/>
  <c r="K34" i="13"/>
  <c r="H42" i="13"/>
  <c r="E34" i="13"/>
  <c r="B34" i="13"/>
  <c r="K33" i="13"/>
  <c r="H33" i="13"/>
  <c r="E33" i="13"/>
  <c r="B33" i="13"/>
  <c r="B48" i="13" s="1"/>
  <c r="K32" i="13"/>
  <c r="H32" i="13"/>
  <c r="H67" i="13" s="1"/>
  <c r="I67" i="13" s="1"/>
  <c r="H47" i="13"/>
  <c r="H56" i="13" s="1"/>
  <c r="E32" i="13"/>
  <c r="B32" i="13"/>
  <c r="B47" i="13" s="1"/>
  <c r="B56" i="13" s="1"/>
  <c r="K31" i="13"/>
  <c r="H31" i="13"/>
  <c r="E31" i="13"/>
  <c r="B31" i="13"/>
  <c r="B46" i="13" s="1"/>
  <c r="B55" i="13" s="1"/>
  <c r="K30" i="13"/>
  <c r="H30" i="13"/>
  <c r="H45" i="13" s="1"/>
  <c r="B30" i="13"/>
  <c r="B45" i="13" s="1"/>
  <c r="K29" i="13"/>
  <c r="E29" i="13"/>
  <c r="I11" i="13"/>
  <c r="H11" i="13"/>
  <c r="G11" i="13"/>
  <c r="F11" i="13"/>
  <c r="D11" i="13"/>
  <c r="C11" i="13"/>
  <c r="B11" i="13"/>
  <c r="J10" i="13"/>
  <c r="J9" i="13"/>
  <c r="J8" i="13"/>
  <c r="J7" i="13"/>
  <c r="J6" i="13"/>
  <c r="J5" i="13"/>
  <c r="J4" i="13"/>
  <c r="J3" i="13"/>
  <c r="H46" i="13"/>
  <c r="H55" i="13" s="1"/>
  <c r="I55" i="13" s="1"/>
  <c r="AQ30" i="12"/>
  <c r="AR32" i="12"/>
  <c r="AF30" i="12"/>
  <c r="AG30" i="12"/>
  <c r="U30" i="12"/>
  <c r="J3" i="2"/>
  <c r="J4" i="2"/>
  <c r="J5" i="2"/>
  <c r="J6" i="2"/>
  <c r="J7" i="2"/>
  <c r="J8" i="2"/>
  <c r="J9" i="2"/>
  <c r="J10" i="2"/>
  <c r="B11" i="2"/>
  <c r="C11" i="2"/>
  <c r="D11" i="2"/>
  <c r="E11" i="2"/>
  <c r="F11" i="2"/>
  <c r="G11" i="2"/>
  <c r="H11" i="2"/>
  <c r="I11" i="2"/>
  <c r="E29" i="2"/>
  <c r="K29" i="2"/>
  <c r="B30" i="2"/>
  <c r="E30" i="2"/>
  <c r="H30" i="2"/>
  <c r="K30" i="2"/>
  <c r="B31" i="2"/>
  <c r="B42" i="2" s="1"/>
  <c r="E31" i="2"/>
  <c r="H31" i="2"/>
  <c r="K31" i="2"/>
  <c r="B32" i="2"/>
  <c r="E32" i="2"/>
  <c r="H32" i="2"/>
  <c r="K32" i="2"/>
  <c r="B33" i="2"/>
  <c r="B44" i="2" s="1"/>
  <c r="E33" i="2"/>
  <c r="H33" i="2"/>
  <c r="K33" i="2"/>
  <c r="B34" i="2"/>
  <c r="E34" i="2"/>
  <c r="H34" i="2"/>
  <c r="H38" i="2" s="1"/>
  <c r="K34" i="2"/>
  <c r="B35" i="2"/>
  <c r="E35" i="2"/>
  <c r="H35" i="2"/>
  <c r="K35" i="2"/>
  <c r="E38" i="2"/>
  <c r="K38" i="2"/>
  <c r="E40" i="2"/>
  <c r="B41" i="2"/>
  <c r="E41" i="2"/>
  <c r="E42" i="2"/>
  <c r="B43" i="2"/>
  <c r="E43" i="2"/>
  <c r="E44" i="2"/>
  <c r="J3" i="5"/>
  <c r="J4" i="5"/>
  <c r="J5" i="5"/>
  <c r="J6" i="5"/>
  <c r="J7" i="5"/>
  <c r="J8" i="5"/>
  <c r="J9" i="5"/>
  <c r="J10" i="5"/>
  <c r="B11" i="5"/>
  <c r="C11" i="5"/>
  <c r="D11" i="5"/>
  <c r="E11" i="5"/>
  <c r="F11" i="5"/>
  <c r="G11" i="5"/>
  <c r="H11" i="5"/>
  <c r="I11" i="5"/>
  <c r="E29" i="5"/>
  <c r="K29" i="5"/>
  <c r="B30" i="5"/>
  <c r="E30" i="5"/>
  <c r="H30" i="5"/>
  <c r="K30" i="5"/>
  <c r="B31" i="5"/>
  <c r="E31" i="5"/>
  <c r="H31" i="5"/>
  <c r="K31" i="5"/>
  <c r="B32" i="5"/>
  <c r="E32" i="5"/>
  <c r="H32" i="5"/>
  <c r="K32" i="5"/>
  <c r="B33" i="5"/>
  <c r="B44" i="5" s="1"/>
  <c r="E33" i="5"/>
  <c r="H33" i="5"/>
  <c r="K33" i="5"/>
  <c r="B34" i="5"/>
  <c r="E34" i="5"/>
  <c r="H34" i="5"/>
  <c r="H38" i="5" s="1"/>
  <c r="K34" i="5"/>
  <c r="B35" i="5"/>
  <c r="B38" i="5" s="1"/>
  <c r="E35" i="5"/>
  <c r="H35" i="5"/>
  <c r="K35" i="5"/>
  <c r="E38" i="5"/>
  <c r="K38" i="5"/>
  <c r="E40" i="5"/>
  <c r="B41" i="5"/>
  <c r="E41" i="5"/>
  <c r="B42" i="5"/>
  <c r="E42" i="5"/>
  <c r="B43" i="5"/>
  <c r="E43" i="5"/>
  <c r="E44" i="5"/>
  <c r="J3" i="3"/>
  <c r="J4" i="3"/>
  <c r="J5" i="3"/>
  <c r="J6" i="3"/>
  <c r="J7" i="3"/>
  <c r="J8" i="3"/>
  <c r="J9" i="3"/>
  <c r="J10" i="3"/>
  <c r="B11" i="3"/>
  <c r="C11" i="3"/>
  <c r="D11" i="3"/>
  <c r="E11" i="3"/>
  <c r="F11" i="3"/>
  <c r="G11" i="3"/>
  <c r="H11" i="3"/>
  <c r="I11" i="3"/>
  <c r="E29" i="3"/>
  <c r="K29" i="3"/>
  <c r="B30" i="3"/>
  <c r="E30" i="3"/>
  <c r="H30" i="3"/>
  <c r="K30" i="3"/>
  <c r="B31" i="3"/>
  <c r="E31" i="3"/>
  <c r="H31" i="3"/>
  <c r="K31" i="3"/>
  <c r="B32" i="3"/>
  <c r="E32" i="3"/>
  <c r="H32" i="3"/>
  <c r="K32" i="3"/>
  <c r="B33" i="3"/>
  <c r="E33" i="3"/>
  <c r="H33" i="3"/>
  <c r="K33" i="3"/>
  <c r="B34" i="3"/>
  <c r="E34" i="3"/>
  <c r="H34" i="3"/>
  <c r="H38" i="3" s="1"/>
  <c r="K34" i="3"/>
  <c r="B35" i="3"/>
  <c r="E35" i="3"/>
  <c r="H35" i="3"/>
  <c r="K35" i="3"/>
  <c r="E38" i="3"/>
  <c r="K38" i="3"/>
  <c r="E40" i="3"/>
  <c r="E41" i="3"/>
  <c r="B42" i="3"/>
  <c r="E42" i="3"/>
  <c r="E43" i="3"/>
  <c r="B44" i="3"/>
  <c r="E44" i="3"/>
  <c r="J3" i="1"/>
  <c r="J4" i="1"/>
  <c r="J5" i="1"/>
  <c r="J6" i="1"/>
  <c r="J7" i="1"/>
  <c r="J8" i="1"/>
  <c r="J9" i="1"/>
  <c r="J10" i="1"/>
  <c r="B11" i="1"/>
  <c r="C11" i="1"/>
  <c r="D11" i="1"/>
  <c r="E11" i="1"/>
  <c r="F11" i="1"/>
  <c r="G11" i="1"/>
  <c r="H11" i="1"/>
  <c r="I11" i="1"/>
  <c r="E29" i="1"/>
  <c r="K29" i="1"/>
  <c r="B30" i="1"/>
  <c r="B41" i="1" s="1"/>
  <c r="E30" i="1"/>
  <c r="H30" i="1"/>
  <c r="K30" i="1"/>
  <c r="B31" i="1"/>
  <c r="B42" i="1" s="1"/>
  <c r="E31" i="1"/>
  <c r="H31" i="1"/>
  <c r="K31" i="1"/>
  <c r="B32" i="1"/>
  <c r="B43" i="1" s="1"/>
  <c r="E32" i="1"/>
  <c r="H32" i="1"/>
  <c r="K32" i="1"/>
  <c r="B33" i="1"/>
  <c r="E33" i="1"/>
  <c r="H33" i="1"/>
  <c r="K33" i="1"/>
  <c r="B34" i="1"/>
  <c r="E34" i="1"/>
  <c r="H34" i="1"/>
  <c r="H38" i="1" s="1"/>
  <c r="K34" i="1"/>
  <c r="B35" i="1"/>
  <c r="E35" i="1"/>
  <c r="H35" i="1"/>
  <c r="K35" i="1"/>
  <c r="E38" i="1"/>
  <c r="K38" i="1"/>
  <c r="E40" i="1"/>
  <c r="E41" i="1"/>
  <c r="E42" i="1"/>
  <c r="E43" i="1"/>
  <c r="E44" i="1"/>
  <c r="J3" i="4"/>
  <c r="J4" i="4"/>
  <c r="J5" i="4"/>
  <c r="J6" i="4"/>
  <c r="J7" i="4"/>
  <c r="J8" i="4"/>
  <c r="J9" i="4"/>
  <c r="J10" i="4"/>
  <c r="B11" i="4"/>
  <c r="C11" i="4"/>
  <c r="D11" i="4"/>
  <c r="E11" i="4"/>
  <c r="F11" i="4"/>
  <c r="G11" i="4"/>
  <c r="H11" i="4"/>
  <c r="I11" i="4"/>
  <c r="E29" i="4"/>
  <c r="K29" i="4"/>
  <c r="B30" i="4"/>
  <c r="B45" i="4" s="1"/>
  <c r="E30" i="4"/>
  <c r="H30" i="4"/>
  <c r="H45" i="4" s="1"/>
  <c r="K30" i="4"/>
  <c r="B31" i="4"/>
  <c r="E31" i="4"/>
  <c r="H31" i="4"/>
  <c r="K31" i="4"/>
  <c r="B32" i="4"/>
  <c r="B47" i="4" s="1"/>
  <c r="B56" i="4" s="1"/>
  <c r="E32" i="4"/>
  <c r="H32" i="4"/>
  <c r="K32" i="4"/>
  <c r="B33" i="4"/>
  <c r="E33" i="4"/>
  <c r="H33" i="4"/>
  <c r="K33" i="4"/>
  <c r="B34" i="4"/>
  <c r="E34" i="4"/>
  <c r="K34" i="4"/>
  <c r="B35" i="4"/>
  <c r="E35" i="4"/>
  <c r="H35" i="4"/>
  <c r="K35" i="4"/>
  <c r="B36" i="4"/>
  <c r="B49" i="4" s="1"/>
  <c r="B58" i="4" s="1"/>
  <c r="E36" i="4"/>
  <c r="H36" i="4"/>
  <c r="K36" i="4"/>
  <c r="B37" i="4"/>
  <c r="B50" i="4" s="1"/>
  <c r="B59" i="4" s="1"/>
  <c r="E37" i="4"/>
  <c r="H37" i="4"/>
  <c r="K37" i="4"/>
  <c r="B38" i="4"/>
  <c r="E38" i="4"/>
  <c r="H38" i="4"/>
  <c r="K38" i="4"/>
  <c r="B39" i="4"/>
  <c r="E39" i="4"/>
  <c r="H39" i="4"/>
  <c r="K39" i="4"/>
  <c r="E42" i="4"/>
  <c r="K42" i="4"/>
  <c r="E44" i="4"/>
  <c r="J44" i="4"/>
  <c r="K51" i="4" s="1"/>
  <c r="E45" i="4"/>
  <c r="B46" i="4"/>
  <c r="B55" i="4" s="1"/>
  <c r="E46" i="4"/>
  <c r="E47" i="4"/>
  <c r="B48" i="4"/>
  <c r="B57" i="4" s="1"/>
  <c r="E48" i="4"/>
  <c r="E49" i="4"/>
  <c r="E50" i="4"/>
  <c r="H50" i="4"/>
  <c r="H59" i="4" s="1"/>
  <c r="I59" i="4" s="1"/>
  <c r="B51" i="4"/>
  <c r="B60" i="4" s="1"/>
  <c r="E51" i="4"/>
  <c r="H51" i="4"/>
  <c r="H60" i="4" s="1"/>
  <c r="I60" i="4" s="1"/>
  <c r="B52" i="4"/>
  <c r="B61" i="4" s="1"/>
  <c r="E52" i="4"/>
  <c r="J3" i="8"/>
  <c r="J4" i="8"/>
  <c r="J5" i="8"/>
  <c r="J6" i="8"/>
  <c r="J7" i="8"/>
  <c r="J8" i="8"/>
  <c r="J9" i="8"/>
  <c r="J10" i="8"/>
  <c r="B11" i="8"/>
  <c r="C11" i="8"/>
  <c r="D11" i="8"/>
  <c r="E11" i="8"/>
  <c r="F11" i="8"/>
  <c r="G11" i="8"/>
  <c r="H11" i="8"/>
  <c r="I11" i="8"/>
  <c r="E29" i="8"/>
  <c r="K29" i="8"/>
  <c r="B30" i="8"/>
  <c r="E30" i="8"/>
  <c r="H30" i="8"/>
  <c r="K30" i="8"/>
  <c r="B31" i="8"/>
  <c r="B42" i="8" s="1"/>
  <c r="E31" i="8"/>
  <c r="H31" i="8"/>
  <c r="K31" i="8"/>
  <c r="B32" i="8"/>
  <c r="E32" i="8"/>
  <c r="H32" i="8"/>
  <c r="K32" i="8"/>
  <c r="B33" i="8"/>
  <c r="B44" i="8"/>
  <c r="E33" i="8"/>
  <c r="H33" i="8"/>
  <c r="K33" i="8"/>
  <c r="B34" i="8"/>
  <c r="E34" i="8"/>
  <c r="H34" i="8"/>
  <c r="K34" i="8"/>
  <c r="B35" i="8"/>
  <c r="E35" i="8"/>
  <c r="H35" i="8"/>
  <c r="K35" i="8"/>
  <c r="B38" i="8"/>
  <c r="E38" i="8"/>
  <c r="K38" i="8"/>
  <c r="E40" i="8"/>
  <c r="E41" i="8"/>
  <c r="E42" i="8"/>
  <c r="E43" i="8"/>
  <c r="E44" i="8"/>
  <c r="J3" i="11"/>
  <c r="J4" i="11"/>
  <c r="J5" i="11"/>
  <c r="J6" i="11"/>
  <c r="J7" i="11"/>
  <c r="J8" i="11"/>
  <c r="J9" i="11"/>
  <c r="J10" i="11"/>
  <c r="B11" i="11"/>
  <c r="C11" i="11"/>
  <c r="D11" i="11"/>
  <c r="E11" i="11"/>
  <c r="F11" i="11"/>
  <c r="G11" i="11"/>
  <c r="H11" i="11"/>
  <c r="I11" i="11"/>
  <c r="E29" i="11"/>
  <c r="K29" i="11"/>
  <c r="B30" i="11"/>
  <c r="B45" i="11" s="1"/>
  <c r="E30" i="11"/>
  <c r="H30" i="11"/>
  <c r="K30" i="11"/>
  <c r="B31" i="11"/>
  <c r="E31" i="11"/>
  <c r="H31" i="11"/>
  <c r="K31" i="11"/>
  <c r="B32" i="11"/>
  <c r="B47" i="11" s="1"/>
  <c r="B56" i="11" s="1"/>
  <c r="E32" i="11"/>
  <c r="H32" i="11"/>
  <c r="K32" i="11"/>
  <c r="B33" i="11"/>
  <c r="B48" i="11" s="1"/>
  <c r="B57" i="11" s="1"/>
  <c r="E33" i="11"/>
  <c r="H33" i="11"/>
  <c r="K33" i="11"/>
  <c r="B34" i="11"/>
  <c r="E34" i="11"/>
  <c r="K34" i="11"/>
  <c r="B35" i="11"/>
  <c r="T35" i="11" s="1"/>
  <c r="E35" i="11"/>
  <c r="H35" i="11"/>
  <c r="K35" i="11"/>
  <c r="B36" i="11"/>
  <c r="E36" i="11"/>
  <c r="H36" i="11"/>
  <c r="K36" i="11"/>
  <c r="B37" i="11"/>
  <c r="B50" i="11" s="1"/>
  <c r="B59" i="11" s="1"/>
  <c r="E37" i="11"/>
  <c r="H37" i="11"/>
  <c r="K37" i="11"/>
  <c r="B38" i="11"/>
  <c r="E38" i="11"/>
  <c r="H38" i="11"/>
  <c r="K38" i="11"/>
  <c r="B39" i="11"/>
  <c r="E39" i="11"/>
  <c r="H39" i="11"/>
  <c r="K39" i="11"/>
  <c r="E42" i="11"/>
  <c r="K42" i="11"/>
  <c r="E44" i="11"/>
  <c r="J44" i="11"/>
  <c r="E45" i="11"/>
  <c r="H45" i="11"/>
  <c r="B46" i="11"/>
  <c r="B55" i="11" s="1"/>
  <c r="E46" i="11"/>
  <c r="H46" i="11"/>
  <c r="H55" i="11" s="1"/>
  <c r="I55" i="11" s="1"/>
  <c r="E47" i="11"/>
  <c r="H47" i="11"/>
  <c r="H56" i="11" s="1"/>
  <c r="I56" i="11" s="1"/>
  <c r="E48" i="11"/>
  <c r="H48" i="11"/>
  <c r="H57" i="11" s="1"/>
  <c r="I57" i="11" s="1"/>
  <c r="E49" i="11"/>
  <c r="E50" i="11"/>
  <c r="H50" i="11"/>
  <c r="H59" i="11" s="1"/>
  <c r="I59" i="11" s="1"/>
  <c r="B51" i="11"/>
  <c r="B60" i="11" s="1"/>
  <c r="E51" i="11"/>
  <c r="H51" i="11"/>
  <c r="H60" i="11" s="1"/>
  <c r="I60" i="11" s="1"/>
  <c r="B52" i="11"/>
  <c r="B61" i="11" s="1"/>
  <c r="E52" i="11"/>
  <c r="H52" i="11"/>
  <c r="H61" i="11" s="1"/>
  <c r="I61" i="11" s="1"/>
  <c r="J3" i="12"/>
  <c r="J4" i="12"/>
  <c r="J5" i="12"/>
  <c r="J6" i="12"/>
  <c r="J7" i="12"/>
  <c r="J8" i="12"/>
  <c r="J9" i="12"/>
  <c r="J10" i="12"/>
  <c r="B11" i="12"/>
  <c r="C11" i="12"/>
  <c r="D11" i="12"/>
  <c r="E11" i="12"/>
  <c r="F11" i="12"/>
  <c r="G11" i="12"/>
  <c r="H11" i="12"/>
  <c r="I11" i="12"/>
  <c r="E29" i="12"/>
  <c r="K29" i="12"/>
  <c r="B30" i="12"/>
  <c r="E30" i="12"/>
  <c r="H30" i="12"/>
  <c r="K30" i="12"/>
  <c r="B31" i="12"/>
  <c r="B46" i="12" s="1"/>
  <c r="B55" i="12" s="1"/>
  <c r="E31" i="12"/>
  <c r="H31" i="12"/>
  <c r="H46" i="12" s="1"/>
  <c r="H55" i="12" s="1"/>
  <c r="I55" i="12" s="1"/>
  <c r="K31" i="12"/>
  <c r="B32" i="12"/>
  <c r="B47" i="12" s="1"/>
  <c r="B56" i="12" s="1"/>
  <c r="E32" i="12"/>
  <c r="H32" i="12"/>
  <c r="H67" i="12" s="1"/>
  <c r="I67" i="12" s="1"/>
  <c r="K32" i="12"/>
  <c r="B33" i="12"/>
  <c r="B48" i="12" s="1"/>
  <c r="B57" i="12" s="1"/>
  <c r="E33" i="12"/>
  <c r="H33" i="12"/>
  <c r="K33" i="12"/>
  <c r="B34" i="12"/>
  <c r="E34" i="12"/>
  <c r="H42" i="12"/>
  <c r="K34" i="12"/>
  <c r="B35" i="12"/>
  <c r="B42" i="12" s="1"/>
  <c r="E35" i="12"/>
  <c r="H35" i="12"/>
  <c r="K35" i="12"/>
  <c r="B36" i="12"/>
  <c r="E36" i="12"/>
  <c r="H36" i="12"/>
  <c r="K36" i="12"/>
  <c r="B37" i="12"/>
  <c r="B50" i="12" s="1"/>
  <c r="B59" i="12" s="1"/>
  <c r="E37" i="12"/>
  <c r="H37" i="12"/>
  <c r="K37" i="12"/>
  <c r="B38" i="12"/>
  <c r="E38" i="12"/>
  <c r="H38" i="12"/>
  <c r="H73" i="12" s="1"/>
  <c r="I73" i="12" s="1"/>
  <c r="K38" i="12"/>
  <c r="B39" i="12"/>
  <c r="E39" i="12"/>
  <c r="H39" i="12"/>
  <c r="H74" i="12" s="1"/>
  <c r="I74" i="12" s="1"/>
  <c r="K39" i="12"/>
  <c r="E42" i="12"/>
  <c r="K42" i="12"/>
  <c r="E44" i="12"/>
  <c r="J44" i="12"/>
  <c r="K48" i="12" s="1"/>
  <c r="E45" i="12"/>
  <c r="H45" i="12"/>
  <c r="E46" i="12"/>
  <c r="E47" i="12"/>
  <c r="H47" i="12"/>
  <c r="H56" i="12" s="1"/>
  <c r="I56" i="12" s="1"/>
  <c r="E48" i="12"/>
  <c r="B49" i="12"/>
  <c r="B58" i="12" s="1"/>
  <c r="E49" i="12"/>
  <c r="E50" i="12"/>
  <c r="H50" i="12"/>
  <c r="H59" i="12" s="1"/>
  <c r="I59" i="12" s="1"/>
  <c r="B51" i="12"/>
  <c r="B60" i="12" s="1"/>
  <c r="E51" i="12"/>
  <c r="H51" i="12"/>
  <c r="H60" i="12" s="1"/>
  <c r="I60" i="12" s="1"/>
  <c r="B52" i="12"/>
  <c r="B61" i="12" s="1"/>
  <c r="E52" i="12"/>
  <c r="B45" i="12"/>
  <c r="H38" i="8"/>
  <c r="B43" i="3"/>
  <c r="H48" i="4"/>
  <c r="H57" i="4" s="1"/>
  <c r="I57" i="4" s="1"/>
  <c r="K47" i="4"/>
  <c r="H46" i="4"/>
  <c r="H55" i="4" s="1"/>
  <c r="I55" i="4" s="1"/>
  <c r="K45" i="4"/>
  <c r="B41" i="3"/>
  <c r="B43" i="8"/>
  <c r="H52" i="4"/>
  <c r="H61" i="4" s="1"/>
  <c r="I61" i="4" s="1"/>
  <c r="K49" i="4"/>
  <c r="K48" i="4"/>
  <c r="B44" i="1"/>
  <c r="B38" i="3"/>
  <c r="J11" i="5"/>
  <c r="H12" i="5"/>
  <c r="W49" i="2" s="1"/>
  <c r="F17" i="5"/>
  <c r="Q4" i="9" s="1"/>
  <c r="D19" i="5"/>
  <c r="O6" i="9" s="1"/>
  <c r="G20" i="5"/>
  <c r="R7" i="9" s="1"/>
  <c r="F21" i="5"/>
  <c r="Q8" i="9" s="1"/>
  <c r="B29" i="5"/>
  <c r="B37" i="5" s="1"/>
  <c r="C38" i="5" s="1"/>
  <c r="C17" i="5"/>
  <c r="N4" i="9" s="1"/>
  <c r="B18" i="5"/>
  <c r="M5" i="9" s="1"/>
  <c r="C21" i="5"/>
  <c r="N8" i="9" s="1"/>
  <c r="I23" i="5"/>
  <c r="T10" i="9" s="1"/>
  <c r="I16" i="5"/>
  <c r="T3" i="9" s="1"/>
  <c r="H17" i="5"/>
  <c r="S4" i="9" s="1"/>
  <c r="C18" i="5"/>
  <c r="N5" i="9" s="1"/>
  <c r="B19" i="5"/>
  <c r="I20" i="5"/>
  <c r="T7" i="9" s="1"/>
  <c r="H21" i="5"/>
  <c r="S8" i="9"/>
  <c r="K9" i="5"/>
  <c r="R56" i="2" s="1"/>
  <c r="C12" i="5"/>
  <c r="R49" i="2" s="1"/>
  <c r="H29" i="5"/>
  <c r="I29" i="5" s="1"/>
  <c r="E17" i="5"/>
  <c r="P4" i="9" s="1"/>
  <c r="I17" i="5"/>
  <c r="T4" i="9" s="1"/>
  <c r="C23" i="5"/>
  <c r="N10" i="9" s="1"/>
  <c r="I21" i="5"/>
  <c r="T8" i="9" s="1"/>
  <c r="B20" i="5"/>
  <c r="M7" i="9" s="1"/>
  <c r="K6" i="5"/>
  <c r="U56" i="2" s="1"/>
  <c r="C31" i="5"/>
  <c r="C32" i="5"/>
  <c r="C30" i="5"/>
  <c r="H37" i="5"/>
  <c r="I38" i="5" s="1"/>
  <c r="I31" i="5"/>
  <c r="I35" i="5"/>
  <c r="I33" i="5"/>
  <c r="AG31" i="12"/>
  <c r="AG32" i="12"/>
  <c r="V30" i="12"/>
  <c r="V32" i="12"/>
  <c r="V31" i="12"/>
  <c r="AR30" i="12"/>
  <c r="AR31" i="12"/>
  <c r="J11" i="4"/>
  <c r="C20" i="4" s="1"/>
  <c r="K7" i="4"/>
  <c r="E58" i="2" s="1"/>
  <c r="I22" i="4"/>
  <c r="H17" i="4"/>
  <c r="G20" i="4"/>
  <c r="B21" i="4"/>
  <c r="F21" i="4"/>
  <c r="F34" i="9" s="1"/>
  <c r="E21" i="4"/>
  <c r="H18" i="4"/>
  <c r="D18" i="4"/>
  <c r="F20" i="4"/>
  <c r="G23" i="4"/>
  <c r="K8" i="4"/>
  <c r="D58" i="2" s="1"/>
  <c r="F33" i="9"/>
  <c r="AW61" i="12" l="1"/>
  <c r="AW81" i="12"/>
  <c r="AW80" i="12"/>
  <c r="P592" i="23"/>
  <c r="AK73" i="21"/>
  <c r="AL73" i="21" s="1"/>
  <c r="AY73" i="21"/>
  <c r="N74" i="21"/>
  <c r="AK57" i="21"/>
  <c r="N58" i="21"/>
  <c r="O350" i="23"/>
  <c r="P350" i="23" s="1"/>
  <c r="O686" i="23"/>
  <c r="O742" i="23"/>
  <c r="O574" i="23"/>
  <c r="N183" i="23"/>
  <c r="Z71" i="21"/>
  <c r="AA71" i="21" s="1"/>
  <c r="O56" i="21"/>
  <c r="N167" i="23"/>
  <c r="Z55" i="21"/>
  <c r="AA55" i="21" s="1"/>
  <c r="P55" i="21"/>
  <c r="P600" i="23"/>
  <c r="AK46" i="21"/>
  <c r="N47" i="21"/>
  <c r="AJ46" i="21"/>
  <c r="AL46" i="21" s="1"/>
  <c r="Y47" i="21"/>
  <c r="AA46" i="21"/>
  <c r="AJ56" i="21"/>
  <c r="AL56" i="21" s="1"/>
  <c r="Y57" i="21"/>
  <c r="AJ74" i="21"/>
  <c r="Y75" i="21"/>
  <c r="O334" i="23"/>
  <c r="P334" i="23" s="1"/>
  <c r="O726" i="23"/>
  <c r="O670" i="23"/>
  <c r="O558" i="23"/>
  <c r="AY45" i="21"/>
  <c r="AL45" i="21"/>
  <c r="AY56" i="21"/>
  <c r="P542" i="23"/>
  <c r="O629" i="23"/>
  <c r="O517" i="23"/>
  <c r="P517" i="23" s="1"/>
  <c r="P181" i="23"/>
  <c r="N573" i="23"/>
  <c r="O796" i="23"/>
  <c r="P796" i="23" s="1"/>
  <c r="P628" i="23"/>
  <c r="N634" i="23"/>
  <c r="N522" i="23"/>
  <c r="N466" i="23"/>
  <c r="O298" i="23"/>
  <c r="P298" i="23" s="1"/>
  <c r="O612" i="23"/>
  <c r="O500" i="23"/>
  <c r="P500" i="23" s="1"/>
  <c r="P164" i="23"/>
  <c r="N556" i="23"/>
  <c r="N773" i="23"/>
  <c r="P773" i="23" s="1"/>
  <c r="P437" i="23"/>
  <c r="N717" i="23"/>
  <c r="P717" i="23" s="1"/>
  <c r="P549" i="23"/>
  <c r="O237" i="23"/>
  <c r="P237" i="23" s="1"/>
  <c r="P125" i="23"/>
  <c r="P598" i="23"/>
  <c r="O54" i="23"/>
  <c r="O165" i="23"/>
  <c r="O109" i="23"/>
  <c r="N669" i="23"/>
  <c r="P669" i="23" s="1"/>
  <c r="P53" i="23"/>
  <c r="N740" i="23"/>
  <c r="P740" i="23" s="1"/>
  <c r="P572" i="23"/>
  <c r="O779" i="23"/>
  <c r="P779" i="23" s="1"/>
  <c r="P611" i="23"/>
  <c r="O392" i="23"/>
  <c r="P392" i="23" s="1"/>
  <c r="O448" i="23"/>
  <c r="N616" i="23" s="1"/>
  <c r="N662" i="23"/>
  <c r="P662" i="23" s="1"/>
  <c r="N606" i="23"/>
  <c r="P606" i="23" s="1"/>
  <c r="N550" i="23"/>
  <c r="N438" i="23"/>
  <c r="P46" i="23"/>
  <c r="N494" i="23"/>
  <c r="P494" i="23" s="1"/>
  <c r="O270" i="23"/>
  <c r="P270" i="23" s="1"/>
  <c r="O126" i="23"/>
  <c r="O182" i="23"/>
  <c r="O71" i="23"/>
  <c r="N686" i="23"/>
  <c r="P686" i="23" s="1"/>
  <c r="P70" i="23"/>
  <c r="P766" i="23"/>
  <c r="N504" i="23"/>
  <c r="O280" i="23"/>
  <c r="P280" i="23" s="1"/>
  <c r="N448" i="23"/>
  <c r="N783" i="23"/>
  <c r="P447" i="23"/>
  <c r="O220" i="23"/>
  <c r="P220" i="23" s="1"/>
  <c r="P108" i="23"/>
  <c r="O551" i="23"/>
  <c r="O383" i="23"/>
  <c r="P383" i="23" s="1"/>
  <c r="P384" i="23" s="1"/>
  <c r="P103" i="23"/>
  <c r="P104" i="23" s="1"/>
  <c r="O439" i="23"/>
  <c r="P710" i="23"/>
  <c r="N801" i="23"/>
  <c r="P465" i="23"/>
  <c r="N723" i="23"/>
  <c r="P723" i="23" s="1"/>
  <c r="P555" i="23"/>
  <c r="O72" i="21"/>
  <c r="P71" i="21"/>
  <c r="K45" i="12"/>
  <c r="C12" i="11"/>
  <c r="K47" i="11"/>
  <c r="K48" i="11"/>
  <c r="I34" i="5"/>
  <c r="I30" i="5"/>
  <c r="B42" i="4"/>
  <c r="U35" i="4"/>
  <c r="K49" i="11"/>
  <c r="B49" i="11"/>
  <c r="B42" i="11"/>
  <c r="W254" i="13"/>
  <c r="W255" i="13"/>
  <c r="W256" i="13"/>
  <c r="H48" i="12"/>
  <c r="H57" i="12" s="1"/>
  <c r="I57" i="12" s="1"/>
  <c r="H68" i="12"/>
  <c r="I68" i="12" s="1"/>
  <c r="H74" i="13"/>
  <c r="I74" i="13" s="1"/>
  <c r="H52" i="13"/>
  <c r="H61" i="13" s="1"/>
  <c r="I61" i="13" s="1"/>
  <c r="N106" i="15"/>
  <c r="N162" i="15"/>
  <c r="K4" i="4"/>
  <c r="H58" i="2" s="1"/>
  <c r="E23" i="4"/>
  <c r="E19" i="4"/>
  <c r="H21" i="4"/>
  <c r="I32" i="5"/>
  <c r="D12" i="5"/>
  <c r="S49" i="2" s="1"/>
  <c r="I18" i="5"/>
  <c r="T5" i="9" s="1"/>
  <c r="H23" i="5"/>
  <c r="S10" i="9" s="1"/>
  <c r="D20" i="5"/>
  <c r="O7" i="9" s="1"/>
  <c r="E23" i="5"/>
  <c r="P10" i="9" s="1"/>
  <c r="D17" i="5"/>
  <c r="O4" i="9" s="1"/>
  <c r="F19" i="5"/>
  <c r="Q6" i="9" s="1"/>
  <c r="G22" i="5"/>
  <c r="R9" i="9" s="1"/>
  <c r="H18" i="5"/>
  <c r="S5" i="9" s="1"/>
  <c r="H22" i="5"/>
  <c r="S9" i="9" s="1"/>
  <c r="G23" i="5"/>
  <c r="R10" i="9" s="1"/>
  <c r="E12" i="5"/>
  <c r="T49" i="2" s="1"/>
  <c r="K10" i="5"/>
  <c r="Q56" i="2" s="1"/>
  <c r="K46" i="4"/>
  <c r="H52" i="12"/>
  <c r="H61" i="12" s="1"/>
  <c r="I61" i="12" s="1"/>
  <c r="H48" i="13"/>
  <c r="H57" i="13" s="1"/>
  <c r="I57" i="13" s="1"/>
  <c r="H68" i="13"/>
  <c r="I68" i="13" s="1"/>
  <c r="O162" i="15"/>
  <c r="O163" i="15" s="1"/>
  <c r="O164" i="15" s="1"/>
  <c r="O165" i="15" s="1"/>
  <c r="O166" i="15" s="1"/>
  <c r="O167" i="15" s="1"/>
  <c r="O168" i="15" s="1"/>
  <c r="O169" i="15" s="1"/>
  <c r="O170" i="15" s="1"/>
  <c r="O171" i="15" s="1"/>
  <c r="O172" i="15" s="1"/>
  <c r="O173" i="15" s="1"/>
  <c r="O174" i="15" s="1"/>
  <c r="O175" i="15" s="1"/>
  <c r="O176" i="15" s="1"/>
  <c r="N50" i="15"/>
  <c r="N51" i="15" s="1"/>
  <c r="N52" i="15" s="1"/>
  <c r="N53" i="15" s="1"/>
  <c r="N54" i="15" s="1"/>
  <c r="N55" i="15" s="1"/>
  <c r="N56" i="15" s="1"/>
  <c r="N57" i="15" s="1"/>
  <c r="N58" i="15" s="1"/>
  <c r="N59" i="15" s="1"/>
  <c r="N60" i="15" s="1"/>
  <c r="N61" i="15" s="1"/>
  <c r="N62" i="15" s="1"/>
  <c r="N63" i="15" s="1"/>
  <c r="N64" i="15" s="1"/>
  <c r="J16" i="16"/>
  <c r="B24" i="16"/>
  <c r="J22" i="16"/>
  <c r="U142" i="15"/>
  <c r="U39" i="4"/>
  <c r="N39" i="4"/>
  <c r="O39" i="4" s="1"/>
  <c r="U38" i="4"/>
  <c r="N38" i="4"/>
  <c r="O38" i="4" s="1"/>
  <c r="U34" i="4"/>
  <c r="U33" i="4"/>
  <c r="N33" i="4"/>
  <c r="O33" i="4" s="1"/>
  <c r="H47" i="4"/>
  <c r="H56" i="4" s="1"/>
  <c r="I56" i="4" s="1"/>
  <c r="U32" i="4"/>
  <c r="N32" i="4"/>
  <c r="O32" i="4" s="1"/>
  <c r="B38" i="1"/>
  <c r="W590" i="13"/>
  <c r="J21" i="16"/>
  <c r="J17" i="16"/>
  <c r="H41" i="16"/>
  <c r="I42" i="16" s="1"/>
  <c r="H44" i="16"/>
  <c r="I29" i="16"/>
  <c r="I34" i="16"/>
  <c r="I35" i="16"/>
  <c r="I36" i="16"/>
  <c r="I30" i="16"/>
  <c r="I31" i="16"/>
  <c r="I38" i="16"/>
  <c r="I32" i="16"/>
  <c r="I33" i="16"/>
  <c r="I37" i="16"/>
  <c r="I39" i="16"/>
  <c r="O179" i="15"/>
  <c r="O180" i="15" s="1"/>
  <c r="O181" i="15" s="1"/>
  <c r="O182" i="15" s="1"/>
  <c r="O183" i="15" s="1"/>
  <c r="O184" i="15" s="1"/>
  <c r="O185" i="15" s="1"/>
  <c r="O186" i="15" s="1"/>
  <c r="O187" i="15" s="1"/>
  <c r="O188" i="15" s="1"/>
  <c r="O189" i="15" s="1"/>
  <c r="O190" i="15" s="1"/>
  <c r="O191" i="15" s="1"/>
  <c r="O192" i="15" s="1"/>
  <c r="O193" i="15" s="1"/>
  <c r="I24" i="16"/>
  <c r="N67" i="15"/>
  <c r="N68" i="15" s="1"/>
  <c r="N69" i="15" s="1"/>
  <c r="N70" i="15" s="1"/>
  <c r="N71" i="15" s="1"/>
  <c r="N72" i="15" s="1"/>
  <c r="N73" i="15" s="1"/>
  <c r="N74" i="15" s="1"/>
  <c r="N75" i="15" s="1"/>
  <c r="N76" i="15" s="1"/>
  <c r="N77" i="15" s="1"/>
  <c r="N78" i="15" s="1"/>
  <c r="N79" i="15" s="1"/>
  <c r="N80" i="15" s="1"/>
  <c r="N81" i="15" s="1"/>
  <c r="H24" i="16"/>
  <c r="J11" i="11"/>
  <c r="K4" i="11" s="1"/>
  <c r="H42" i="4"/>
  <c r="W87" i="13"/>
  <c r="W310" i="13"/>
  <c r="J12" i="16"/>
  <c r="G24" i="16"/>
  <c r="C24" i="16"/>
  <c r="F24" i="16"/>
  <c r="C29" i="16"/>
  <c r="C39" i="16"/>
  <c r="C33" i="16"/>
  <c r="C34" i="16"/>
  <c r="C38" i="16"/>
  <c r="B44" i="16"/>
  <c r="C31" i="16"/>
  <c r="C37" i="16"/>
  <c r="C32" i="16"/>
  <c r="C36" i="16"/>
  <c r="C30" i="16"/>
  <c r="B41" i="16"/>
  <c r="C42" i="16" s="1"/>
  <c r="B54" i="16"/>
  <c r="C35" i="16"/>
  <c r="E24" i="16"/>
  <c r="D24" i="16"/>
  <c r="V87" i="15"/>
  <c r="V88" i="15"/>
  <c r="V86" i="15"/>
  <c r="K5" i="11"/>
  <c r="T39" i="11"/>
  <c r="N39" i="11"/>
  <c r="O39" i="11" s="1"/>
  <c r="T38" i="11"/>
  <c r="N38" i="11"/>
  <c r="O38" i="11" s="1"/>
  <c r="H42" i="11"/>
  <c r="T34" i="11"/>
  <c r="T33" i="11"/>
  <c r="N33" i="11"/>
  <c r="O33" i="11" s="1"/>
  <c r="T32" i="11"/>
  <c r="N32" i="11"/>
  <c r="O32" i="11" s="1"/>
  <c r="W88" i="13"/>
  <c r="C24" i="17"/>
  <c r="N123" i="15"/>
  <c r="N179" i="15"/>
  <c r="J20" i="16"/>
  <c r="J19" i="16"/>
  <c r="J18" i="16"/>
  <c r="G24" i="17"/>
  <c r="E24" i="17"/>
  <c r="B24" i="17"/>
  <c r="J16" i="17"/>
  <c r="H44" i="17"/>
  <c r="H41" i="17"/>
  <c r="I42" i="17" s="1"/>
  <c r="I39" i="17"/>
  <c r="I37" i="17"/>
  <c r="I35" i="17"/>
  <c r="I33" i="17"/>
  <c r="I31" i="17"/>
  <c r="I30" i="17"/>
  <c r="I29" i="17"/>
  <c r="I32" i="17"/>
  <c r="I34" i="17"/>
  <c r="I36" i="17"/>
  <c r="I38" i="17"/>
  <c r="J12" i="17"/>
  <c r="J19" i="17"/>
  <c r="J23" i="17"/>
  <c r="F24" i="17"/>
  <c r="J18" i="17"/>
  <c r="J20" i="17"/>
  <c r="J22" i="17"/>
  <c r="B54" i="17"/>
  <c r="C57" i="17" s="1"/>
  <c r="B41" i="17"/>
  <c r="C42" i="17" s="1"/>
  <c r="C29" i="17"/>
  <c r="B44" i="17"/>
  <c r="C38" i="17"/>
  <c r="C36" i="17"/>
  <c r="C34" i="17"/>
  <c r="C32" i="17"/>
  <c r="C31" i="17"/>
  <c r="C33" i="17"/>
  <c r="C39" i="17"/>
  <c r="C37" i="17"/>
  <c r="C30" i="17"/>
  <c r="C35" i="17"/>
  <c r="I24" i="17"/>
  <c r="J17" i="17"/>
  <c r="J21" i="17"/>
  <c r="D24" i="17"/>
  <c r="H24" i="17"/>
  <c r="B44" i="15"/>
  <c r="C38" i="15"/>
  <c r="C36" i="15"/>
  <c r="C34" i="15"/>
  <c r="C32" i="15"/>
  <c r="C30" i="15"/>
  <c r="C29" i="15"/>
  <c r="B54" i="15"/>
  <c r="B41" i="15"/>
  <c r="C42" i="15" s="1"/>
  <c r="C39" i="15"/>
  <c r="C31" i="15"/>
  <c r="C33" i="15"/>
  <c r="C37" i="15"/>
  <c r="C35" i="15"/>
  <c r="O50" i="15"/>
  <c r="O106" i="15" s="1"/>
  <c r="H41" i="15"/>
  <c r="I42" i="15" s="1"/>
  <c r="I39" i="15"/>
  <c r="I37" i="15"/>
  <c r="I35" i="15"/>
  <c r="I33" i="15"/>
  <c r="I31" i="15"/>
  <c r="I29" i="15"/>
  <c r="H44" i="15"/>
  <c r="I30" i="15"/>
  <c r="I36" i="15"/>
  <c r="I38" i="15"/>
  <c r="I32" i="15"/>
  <c r="I34" i="15"/>
  <c r="O67" i="15"/>
  <c r="O123" i="15" s="1"/>
  <c r="W592" i="13"/>
  <c r="W200" i="13"/>
  <c r="C33" i="9"/>
  <c r="D31" i="9"/>
  <c r="H34" i="9"/>
  <c r="H30" i="9"/>
  <c r="E34" i="9"/>
  <c r="M6" i="9"/>
  <c r="E32" i="9"/>
  <c r="G36" i="9"/>
  <c r="B34" i="9"/>
  <c r="E36" i="9"/>
  <c r="I35" i="9"/>
  <c r="C16" i="4"/>
  <c r="I18" i="4"/>
  <c r="H20" i="4"/>
  <c r="G22" i="4"/>
  <c r="B17" i="4"/>
  <c r="K3" i="4"/>
  <c r="I58" i="2" s="1"/>
  <c r="G12" i="4"/>
  <c r="G51" i="2" s="1"/>
  <c r="I19" i="4"/>
  <c r="I21" i="4"/>
  <c r="B23" i="4"/>
  <c r="D23" i="4"/>
  <c r="B12" i="4"/>
  <c r="B16" i="4"/>
  <c r="F12" i="4"/>
  <c r="F51" i="2" s="1"/>
  <c r="B29" i="4"/>
  <c r="H12" i="4"/>
  <c r="H51" i="2" s="1"/>
  <c r="G19" i="4"/>
  <c r="D22" i="4"/>
  <c r="E12" i="4"/>
  <c r="E51" i="2" s="1"/>
  <c r="E20" i="4"/>
  <c r="K10" i="4"/>
  <c r="B58" i="2" s="1"/>
  <c r="D12" i="4"/>
  <c r="D51" i="2" s="1"/>
  <c r="I16" i="4"/>
  <c r="H23" i="4"/>
  <c r="B18" i="4"/>
  <c r="G21" i="4"/>
  <c r="D19" i="4"/>
  <c r="B19" i="4"/>
  <c r="C22" i="4"/>
  <c r="F23" i="4"/>
  <c r="G16" i="4"/>
  <c r="K9" i="4"/>
  <c r="C58" i="2" s="1"/>
  <c r="K5" i="4"/>
  <c r="G58" i="2" s="1"/>
  <c r="H19" i="4"/>
  <c r="B20" i="4"/>
  <c r="E22" i="4"/>
  <c r="G33" i="9"/>
  <c r="I23" i="4"/>
  <c r="C12" i="4"/>
  <c r="C51" i="2" s="1"/>
  <c r="G17" i="4"/>
  <c r="F17" i="4"/>
  <c r="G18" i="4"/>
  <c r="I20" i="4"/>
  <c r="K6" i="4"/>
  <c r="F58" i="2" s="1"/>
  <c r="E16" i="4"/>
  <c r="D16" i="4"/>
  <c r="B22" i="4"/>
  <c r="H29" i="4"/>
  <c r="C23" i="4"/>
  <c r="C21" i="4"/>
  <c r="C18" i="4"/>
  <c r="H16" i="4"/>
  <c r="E18" i="4"/>
  <c r="F22" i="4"/>
  <c r="C19" i="4"/>
  <c r="D17" i="4"/>
  <c r="I17" i="4"/>
  <c r="F19" i="4"/>
  <c r="E17" i="4"/>
  <c r="D21" i="4"/>
  <c r="H31" i="9"/>
  <c r="F16" i="4"/>
  <c r="H22" i="4"/>
  <c r="F18" i="4"/>
  <c r="C17" i="4"/>
  <c r="D20" i="4"/>
  <c r="I12" i="4"/>
  <c r="I51" i="2" s="1"/>
  <c r="B40" i="5"/>
  <c r="C35" i="5"/>
  <c r="C33" i="5"/>
  <c r="C34" i="5"/>
  <c r="C29" i="5"/>
  <c r="J11" i="12"/>
  <c r="C12" i="12" s="1"/>
  <c r="C16" i="5"/>
  <c r="D23" i="5"/>
  <c r="O10" i="9" s="1"/>
  <c r="F18" i="5"/>
  <c r="Q5" i="9" s="1"/>
  <c r="H20" i="5"/>
  <c r="S7" i="9" s="1"/>
  <c r="E18" i="5"/>
  <c r="P5" i="9" s="1"/>
  <c r="C20" i="5"/>
  <c r="K3" i="5"/>
  <c r="X56" i="2" s="1"/>
  <c r="G17" i="5"/>
  <c r="R4" i="9" s="1"/>
  <c r="B12" i="5"/>
  <c r="E20" i="5"/>
  <c r="P7" i="9" s="1"/>
  <c r="C22" i="5"/>
  <c r="N9" i="9" s="1"/>
  <c r="E22" i="5"/>
  <c r="P9" i="9" s="1"/>
  <c r="K7" i="5"/>
  <c r="T56" i="2" s="1"/>
  <c r="E19" i="5"/>
  <c r="P6" i="9" s="1"/>
  <c r="G21" i="5"/>
  <c r="R8" i="9" s="1"/>
  <c r="F12" i="5"/>
  <c r="U49" i="2" s="1"/>
  <c r="B23" i="5"/>
  <c r="F20" i="5"/>
  <c r="Q7" i="9" s="1"/>
  <c r="G19" i="5"/>
  <c r="R6" i="9" s="1"/>
  <c r="K5" i="5"/>
  <c r="V56" i="2" s="1"/>
  <c r="K4" i="5"/>
  <c r="W56" i="2" s="1"/>
  <c r="G16" i="5"/>
  <c r="H19" i="5"/>
  <c r="S6" i="9" s="1"/>
  <c r="I22" i="5"/>
  <c r="T9" i="9" s="1"/>
  <c r="D16" i="5"/>
  <c r="B22" i="5"/>
  <c r="G18" i="5"/>
  <c r="R5" i="9" s="1"/>
  <c r="D21" i="5"/>
  <c r="O8" i="9" s="1"/>
  <c r="F23" i="5"/>
  <c r="Q10" i="9" s="1"/>
  <c r="C19" i="5"/>
  <c r="N6" i="9" s="1"/>
  <c r="B17" i="5"/>
  <c r="H16" i="5"/>
  <c r="I19" i="5"/>
  <c r="F22" i="5"/>
  <c r="Q9" i="9" s="1"/>
  <c r="E16" i="5"/>
  <c r="D22" i="5"/>
  <c r="O9" i="9" s="1"/>
  <c r="E21" i="5"/>
  <c r="P8" i="9" s="1"/>
  <c r="F16" i="5"/>
  <c r="B21" i="5"/>
  <c r="G12" i="5"/>
  <c r="V49" i="2" s="1"/>
  <c r="B16" i="5"/>
  <c r="D18" i="5"/>
  <c r="K8" i="5"/>
  <c r="S56" i="2" s="1"/>
  <c r="I12" i="5"/>
  <c r="X49" i="2" s="1"/>
  <c r="J11" i="2"/>
  <c r="K6" i="2" s="1"/>
  <c r="F56" i="2" s="1"/>
  <c r="K46" i="12"/>
  <c r="K47" i="12"/>
  <c r="K49" i="12"/>
  <c r="K50" i="12"/>
  <c r="K52" i="12"/>
  <c r="K44" i="12"/>
  <c r="K51" i="12"/>
  <c r="J11" i="13"/>
  <c r="B21" i="13" s="1"/>
  <c r="W144" i="13"/>
  <c r="W143" i="13"/>
  <c r="W142" i="13"/>
  <c r="J11" i="3"/>
  <c r="B41" i="8"/>
  <c r="K50" i="13"/>
  <c r="K49" i="13"/>
  <c r="K51" i="13"/>
  <c r="K47" i="13"/>
  <c r="K45" i="13"/>
  <c r="K46" i="13"/>
  <c r="K48" i="13"/>
  <c r="K44" i="13"/>
  <c r="J11" i="1"/>
  <c r="K51" i="11"/>
  <c r="K52" i="4"/>
  <c r="K44" i="4"/>
  <c r="K50" i="4"/>
  <c r="W368" i="13"/>
  <c r="W366" i="13"/>
  <c r="K3" i="12"/>
  <c r="K45" i="11"/>
  <c r="K50" i="11"/>
  <c r="K52" i="11"/>
  <c r="K44" i="11"/>
  <c r="K46" i="11"/>
  <c r="J11" i="8"/>
  <c r="G12" i="8" s="1"/>
  <c r="V51" i="2" s="1"/>
  <c r="B38" i="2"/>
  <c r="K10" i="13"/>
  <c r="B12" i="13"/>
  <c r="V32" i="13"/>
  <c r="V30" i="13"/>
  <c r="C16" i="13"/>
  <c r="D17" i="13"/>
  <c r="B18" i="13"/>
  <c r="G19" i="13"/>
  <c r="I16" i="13"/>
  <c r="F20" i="13"/>
  <c r="C23" i="13"/>
  <c r="E20" i="13"/>
  <c r="I12" i="13"/>
  <c r="D16" i="13"/>
  <c r="G21" i="13"/>
  <c r="I22" i="13"/>
  <c r="B16" i="13"/>
  <c r="F12" i="13"/>
  <c r="C21" i="13"/>
  <c r="E16" i="13"/>
  <c r="B57" i="13"/>
  <c r="F18" i="13"/>
  <c r="G22" i="13"/>
  <c r="H19" i="13"/>
  <c r="I17" i="13"/>
  <c r="B42" i="13"/>
  <c r="AW82" i="12" l="1"/>
  <c r="AW62" i="12"/>
  <c r="N184" i="23"/>
  <c r="Z72" i="21"/>
  <c r="AA72" i="21" s="1"/>
  <c r="AJ75" i="21"/>
  <c r="Y76" i="21"/>
  <c r="AK47" i="21"/>
  <c r="P47" i="21"/>
  <c r="P48" i="21" s="1"/>
  <c r="AY74" i="21"/>
  <c r="AK74" i="21"/>
  <c r="N75" i="21"/>
  <c r="AL74" i="21"/>
  <c r="AJ57" i="21"/>
  <c r="AL57" i="21" s="1"/>
  <c r="Y58" i="21"/>
  <c r="AJ47" i="21"/>
  <c r="AA47" i="21"/>
  <c r="AA48" i="21" s="1"/>
  <c r="AK58" i="21"/>
  <c r="N59" i="21"/>
  <c r="O57" i="21"/>
  <c r="Z56" i="21"/>
  <c r="AA56" i="21" s="1"/>
  <c r="N168" i="23"/>
  <c r="P56" i="21"/>
  <c r="AY46" i="21"/>
  <c r="O687" i="23"/>
  <c r="O575" i="23"/>
  <c r="O351" i="23"/>
  <c r="P351" i="23" s="1"/>
  <c r="O743" i="23"/>
  <c r="O727" i="23"/>
  <c r="O671" i="23"/>
  <c r="O335" i="23"/>
  <c r="P335" i="23" s="1"/>
  <c r="O559" i="23"/>
  <c r="AY57" i="21"/>
  <c r="N784" i="23"/>
  <c r="P448" i="23"/>
  <c r="O238" i="23"/>
  <c r="P238" i="23" s="1"/>
  <c r="P126" i="23"/>
  <c r="N635" i="23"/>
  <c r="N523" i="23"/>
  <c r="N467" i="23"/>
  <c r="O299" i="23"/>
  <c r="P299" i="23" s="1"/>
  <c r="N617" i="23"/>
  <c r="N505" i="23"/>
  <c r="N449" i="23"/>
  <c r="O281" i="23"/>
  <c r="P281" i="23" s="1"/>
  <c r="N774" i="23"/>
  <c r="P774" i="23" s="1"/>
  <c r="P438" i="23"/>
  <c r="O501" i="23"/>
  <c r="P501" i="23" s="1"/>
  <c r="O613" i="23"/>
  <c r="P165" i="23"/>
  <c r="N557" i="23"/>
  <c r="O780" i="23"/>
  <c r="P780" i="23" s="1"/>
  <c r="P612" i="23"/>
  <c r="O797" i="23"/>
  <c r="P797" i="23" s="1"/>
  <c r="P629" i="23"/>
  <c r="O127" i="23"/>
  <c r="O183" i="23"/>
  <c r="O72" i="23"/>
  <c r="P71" i="23"/>
  <c r="N687" i="23"/>
  <c r="P550" i="23"/>
  <c r="N718" i="23"/>
  <c r="P718" i="23" s="1"/>
  <c r="O449" i="23"/>
  <c r="O393" i="23"/>
  <c r="P393" i="23" s="1"/>
  <c r="O166" i="23"/>
  <c r="O55" i="23"/>
  <c r="O110" i="23"/>
  <c r="N670" i="23"/>
  <c r="P670" i="23" s="1"/>
  <c r="P54" i="23"/>
  <c r="N724" i="23"/>
  <c r="P724" i="23" s="1"/>
  <c r="P556" i="23"/>
  <c r="N802" i="23"/>
  <c r="P466" i="23"/>
  <c r="N741" i="23"/>
  <c r="P741" i="23" s="1"/>
  <c r="P573" i="23"/>
  <c r="N663" i="23"/>
  <c r="P663" i="23" s="1"/>
  <c r="P664" i="23" s="1"/>
  <c r="N607" i="23"/>
  <c r="P607" i="23" s="1"/>
  <c r="P608" i="23" s="1"/>
  <c r="N439" i="23"/>
  <c r="N495" i="23"/>
  <c r="P495" i="23" s="1"/>
  <c r="P496" i="23" s="1"/>
  <c r="O271" i="23"/>
  <c r="P271" i="23" s="1"/>
  <c r="P272" i="23" s="1"/>
  <c r="N551" i="23"/>
  <c r="P47" i="23"/>
  <c r="P48" i="23" s="1"/>
  <c r="O221" i="23"/>
  <c r="P221" i="23" s="1"/>
  <c r="P109" i="23"/>
  <c r="O630" i="23"/>
  <c r="O518" i="23"/>
  <c r="P518" i="23" s="1"/>
  <c r="P182" i="23"/>
  <c r="N574" i="23"/>
  <c r="O73" i="21"/>
  <c r="P72" i="21"/>
  <c r="N149" i="15"/>
  <c r="N146" i="15"/>
  <c r="N93" i="15"/>
  <c r="P93" i="15" s="1"/>
  <c r="N89" i="15"/>
  <c r="P89" i="15" s="1"/>
  <c r="N148" i="15"/>
  <c r="N145" i="15"/>
  <c r="N142" i="15"/>
  <c r="N92" i="15"/>
  <c r="P92" i="15" s="1"/>
  <c r="N88" i="15"/>
  <c r="P88" i="15" s="1"/>
  <c r="N144" i="15"/>
  <c r="N91" i="15"/>
  <c r="P91" i="15" s="1"/>
  <c r="N87" i="15"/>
  <c r="P87" i="15" s="1"/>
  <c r="N143" i="15"/>
  <c r="N86" i="15"/>
  <c r="P86" i="15" s="1"/>
  <c r="N147" i="15"/>
  <c r="P147" i="15" s="1"/>
  <c r="N90" i="15"/>
  <c r="P90" i="15" s="1"/>
  <c r="V144" i="15"/>
  <c r="V142" i="15"/>
  <c r="V143" i="15"/>
  <c r="B12" i="8"/>
  <c r="N180" i="15"/>
  <c r="P179" i="15"/>
  <c r="C45" i="16"/>
  <c r="C50" i="16"/>
  <c r="C44" i="16"/>
  <c r="C46" i="16"/>
  <c r="C47" i="16"/>
  <c r="C48" i="16"/>
  <c r="C49" i="16"/>
  <c r="C52" i="16"/>
  <c r="C51" i="16"/>
  <c r="O148" i="15"/>
  <c r="O144" i="15"/>
  <c r="N36" i="15"/>
  <c r="N32" i="15"/>
  <c r="O147" i="15"/>
  <c r="O143" i="15"/>
  <c r="N35" i="15"/>
  <c r="N31" i="15"/>
  <c r="O146" i="15"/>
  <c r="O142" i="15"/>
  <c r="N34" i="15"/>
  <c r="N30" i="15"/>
  <c r="O145" i="15"/>
  <c r="N37" i="15"/>
  <c r="P37" i="15" s="1"/>
  <c r="O149" i="15"/>
  <c r="N33" i="15"/>
  <c r="N107" i="15"/>
  <c r="P106" i="15"/>
  <c r="N97" i="15"/>
  <c r="N152" i="15"/>
  <c r="N96" i="15"/>
  <c r="P96" i="15" s="1"/>
  <c r="J24" i="16"/>
  <c r="N124" i="15"/>
  <c r="P123" i="15"/>
  <c r="C60" i="16"/>
  <c r="C59" i="16"/>
  <c r="C57" i="16"/>
  <c r="C58" i="16"/>
  <c r="C55" i="16"/>
  <c r="C56" i="16"/>
  <c r="C61" i="16"/>
  <c r="F12" i="11"/>
  <c r="C16" i="11"/>
  <c r="C18" i="11"/>
  <c r="C44" i="9" s="1"/>
  <c r="C20" i="11"/>
  <c r="C22" i="11"/>
  <c r="C48" i="9" s="1"/>
  <c r="H29" i="11"/>
  <c r="D21" i="11"/>
  <c r="F17" i="11"/>
  <c r="F43" i="9" s="1"/>
  <c r="F19" i="11"/>
  <c r="F45" i="9" s="1"/>
  <c r="F21" i="11"/>
  <c r="F23" i="11"/>
  <c r="F49" i="9" s="1"/>
  <c r="B18" i="11"/>
  <c r="F22" i="11"/>
  <c r="F48" i="9" s="1"/>
  <c r="G17" i="11"/>
  <c r="G43" i="9" s="1"/>
  <c r="G19" i="11"/>
  <c r="G45" i="9" s="1"/>
  <c r="G21" i="11"/>
  <c r="G23" i="11"/>
  <c r="F20" i="11"/>
  <c r="D12" i="11"/>
  <c r="G16" i="11"/>
  <c r="E19" i="11"/>
  <c r="I21" i="11"/>
  <c r="D23" i="11"/>
  <c r="D49" i="9" s="1"/>
  <c r="B17" i="11"/>
  <c r="D20" i="11"/>
  <c r="D46" i="9" s="1"/>
  <c r="H22" i="11"/>
  <c r="H48" i="9" s="1"/>
  <c r="D17" i="11"/>
  <c r="E16" i="11"/>
  <c r="I18" i="11"/>
  <c r="I44" i="9" s="1"/>
  <c r="C21" i="11"/>
  <c r="K7" i="11"/>
  <c r="K9" i="11"/>
  <c r="H12" i="11"/>
  <c r="I19" i="11"/>
  <c r="I45" i="9" s="1"/>
  <c r="E12" i="11"/>
  <c r="H20" i="11"/>
  <c r="H46" i="9" s="1"/>
  <c r="D19" i="11"/>
  <c r="D45" i="9" s="1"/>
  <c r="C19" i="11"/>
  <c r="C45" i="9" s="1"/>
  <c r="H17" i="11"/>
  <c r="I17" i="11"/>
  <c r="I43" i="9" s="1"/>
  <c r="G20" i="11"/>
  <c r="E23" i="11"/>
  <c r="F18" i="11"/>
  <c r="F44" i="9" s="1"/>
  <c r="D16" i="11"/>
  <c r="H18" i="11"/>
  <c r="B21" i="11"/>
  <c r="B29" i="11"/>
  <c r="B20" i="11"/>
  <c r="C17" i="11"/>
  <c r="C43" i="9" s="1"/>
  <c r="E20" i="11"/>
  <c r="E46" i="9" s="1"/>
  <c r="I22" i="11"/>
  <c r="H19" i="11"/>
  <c r="F16" i="11"/>
  <c r="E22" i="11"/>
  <c r="E48" i="9" s="1"/>
  <c r="B12" i="11"/>
  <c r="G18" i="11"/>
  <c r="G44" i="9" s="1"/>
  <c r="E21" i="11"/>
  <c r="I23" i="11"/>
  <c r="B22" i="11"/>
  <c r="H16" i="11"/>
  <c r="H42" i="9" s="1"/>
  <c r="B19" i="11"/>
  <c r="D22" i="11"/>
  <c r="D48" i="9" s="1"/>
  <c r="B16" i="11"/>
  <c r="H21" i="11"/>
  <c r="E18" i="11"/>
  <c r="E44" i="9" s="1"/>
  <c r="I20" i="11"/>
  <c r="I46" i="9" s="1"/>
  <c r="C23" i="11"/>
  <c r="H23" i="11"/>
  <c r="H49" i="9" s="1"/>
  <c r="K3" i="11"/>
  <c r="E17" i="11"/>
  <c r="E43" i="9" s="1"/>
  <c r="G22" i="11"/>
  <c r="G48" i="9" s="1"/>
  <c r="D18" i="11"/>
  <c r="B23" i="11"/>
  <c r="I16" i="11"/>
  <c r="K6" i="11"/>
  <c r="I46" i="16"/>
  <c r="I50" i="16"/>
  <c r="I52" i="16"/>
  <c r="I44" i="16"/>
  <c r="I47" i="16"/>
  <c r="I51" i="16"/>
  <c r="I45" i="16"/>
  <c r="I48" i="16"/>
  <c r="I49" i="16"/>
  <c r="N40" i="15"/>
  <c r="N41" i="15" s="1"/>
  <c r="N42" i="15" s="1"/>
  <c r="N43" i="15" s="1"/>
  <c r="N44" i="15" s="1"/>
  <c r="N45" i="15" s="1"/>
  <c r="N46" i="15" s="1"/>
  <c r="N47" i="15" s="1"/>
  <c r="O152" i="15"/>
  <c r="O153" i="15" s="1"/>
  <c r="O154" i="15" s="1"/>
  <c r="O155" i="15" s="1"/>
  <c r="O156" i="15" s="1"/>
  <c r="O157" i="15" s="1"/>
  <c r="O158" i="15" s="1"/>
  <c r="O159" i="15" s="1"/>
  <c r="B58" i="11"/>
  <c r="I12" i="11"/>
  <c r="K8" i="11"/>
  <c r="F22" i="13"/>
  <c r="R22" i="13" s="1"/>
  <c r="F21" i="13"/>
  <c r="G12" i="13"/>
  <c r="G17" i="13"/>
  <c r="D23" i="13"/>
  <c r="P23" i="13" s="1"/>
  <c r="H16" i="13"/>
  <c r="C12" i="8"/>
  <c r="R51" i="2" s="1"/>
  <c r="E12" i="8"/>
  <c r="T51" i="2" s="1"/>
  <c r="K4" i="12"/>
  <c r="P162" i="15"/>
  <c r="N163" i="15"/>
  <c r="K10" i="11"/>
  <c r="G12" i="11"/>
  <c r="C44" i="17"/>
  <c r="C52" i="17"/>
  <c r="C50" i="17"/>
  <c r="C49" i="17"/>
  <c r="C51" i="17"/>
  <c r="C47" i="17"/>
  <c r="C48" i="17"/>
  <c r="C46" i="17"/>
  <c r="C45" i="17"/>
  <c r="C61" i="17"/>
  <c r="C56" i="17"/>
  <c r="C58" i="17"/>
  <c r="C59" i="17"/>
  <c r="C60" i="17"/>
  <c r="I49" i="17"/>
  <c r="I51" i="17"/>
  <c r="I44" i="17"/>
  <c r="I46" i="17"/>
  <c r="I48" i="17"/>
  <c r="I52" i="17"/>
  <c r="I45" i="17"/>
  <c r="I50" i="17"/>
  <c r="I47" i="17"/>
  <c r="J24" i="17"/>
  <c r="C55" i="17"/>
  <c r="Z56" i="2"/>
  <c r="K58" i="2"/>
  <c r="O68" i="15"/>
  <c r="O124" i="15" s="1"/>
  <c r="P67" i="15"/>
  <c r="P36" i="15"/>
  <c r="P34" i="15"/>
  <c r="P32" i="15"/>
  <c r="O30" i="15"/>
  <c r="P30" i="15" s="1"/>
  <c r="P35" i="15"/>
  <c r="P33" i="15"/>
  <c r="P31" i="15"/>
  <c r="O51" i="15"/>
  <c r="O107" i="15" s="1"/>
  <c r="P50" i="15"/>
  <c r="C52" i="15"/>
  <c r="C44" i="15"/>
  <c r="C46" i="15"/>
  <c r="C48" i="15"/>
  <c r="C45" i="15"/>
  <c r="C51" i="15"/>
  <c r="C50" i="15"/>
  <c r="C47" i="15"/>
  <c r="C49" i="15"/>
  <c r="I51" i="15"/>
  <c r="I44" i="15"/>
  <c r="I49" i="15"/>
  <c r="I46" i="15"/>
  <c r="I48" i="15"/>
  <c r="I47" i="15"/>
  <c r="I52" i="15"/>
  <c r="I50" i="15"/>
  <c r="I45" i="15"/>
  <c r="O46" i="15"/>
  <c r="O44" i="15"/>
  <c r="O43" i="15"/>
  <c r="P43" i="15" s="1"/>
  <c r="O41" i="15"/>
  <c r="P41" i="15" s="1"/>
  <c r="O47" i="15"/>
  <c r="O45" i="15"/>
  <c r="O42" i="15"/>
  <c r="P42" i="15" s="1"/>
  <c r="O40" i="15"/>
  <c r="P40" i="15" s="1"/>
  <c r="C61" i="15"/>
  <c r="C60" i="15"/>
  <c r="C55" i="15"/>
  <c r="C58" i="15"/>
  <c r="C57" i="15"/>
  <c r="C56" i="15"/>
  <c r="C59" i="15"/>
  <c r="M4" i="9"/>
  <c r="U4" i="9" s="1"/>
  <c r="J17" i="5"/>
  <c r="Q51" i="2"/>
  <c r="H17" i="3"/>
  <c r="I17" i="3"/>
  <c r="F17" i="3"/>
  <c r="G22" i="3"/>
  <c r="B21" i="3"/>
  <c r="C17" i="3"/>
  <c r="G23" i="3"/>
  <c r="B22" i="3"/>
  <c r="K4" i="3"/>
  <c r="H57" i="2" s="1"/>
  <c r="K8" i="3"/>
  <c r="D57" i="2" s="1"/>
  <c r="K9" i="3"/>
  <c r="C57" i="2" s="1"/>
  <c r="C12" i="3"/>
  <c r="C50" i="2" s="1"/>
  <c r="B18" i="3"/>
  <c r="C18" i="3"/>
  <c r="E12" i="3"/>
  <c r="E50" i="2" s="1"/>
  <c r="D18" i="3"/>
  <c r="I18" i="3"/>
  <c r="E23" i="3"/>
  <c r="F21" i="3"/>
  <c r="E20" i="3"/>
  <c r="I16" i="3"/>
  <c r="B12" i="3"/>
  <c r="F18" i="3"/>
  <c r="G18" i="3"/>
  <c r="H18" i="3"/>
  <c r="G19" i="3"/>
  <c r="I23" i="3"/>
  <c r="D22" i="3"/>
  <c r="I20" i="3"/>
  <c r="H23" i="3"/>
  <c r="C19" i="3"/>
  <c r="B16" i="3"/>
  <c r="C16" i="3"/>
  <c r="K3" i="3"/>
  <c r="I57" i="2" s="1"/>
  <c r="D16" i="3"/>
  <c r="K6" i="3"/>
  <c r="F57" i="2" s="1"/>
  <c r="E21" i="3"/>
  <c r="F23" i="3"/>
  <c r="E22" i="3"/>
  <c r="E18" i="3"/>
  <c r="D23" i="3"/>
  <c r="F16" i="3"/>
  <c r="D20" i="3"/>
  <c r="I22" i="3"/>
  <c r="D17" i="3"/>
  <c r="K7" i="3"/>
  <c r="E57" i="2" s="1"/>
  <c r="F12" i="3"/>
  <c r="F50" i="2" s="1"/>
  <c r="H20" i="3"/>
  <c r="C23" i="3"/>
  <c r="E17" i="3"/>
  <c r="B17" i="3"/>
  <c r="C22" i="3"/>
  <c r="E16" i="3"/>
  <c r="D21" i="3"/>
  <c r="G12" i="3"/>
  <c r="G50" i="2" s="1"/>
  <c r="K10" i="3"/>
  <c r="B57" i="2" s="1"/>
  <c r="F20" i="3"/>
  <c r="H16" i="3"/>
  <c r="H22" i="3"/>
  <c r="H21" i="3"/>
  <c r="E19" i="3"/>
  <c r="G20" i="3"/>
  <c r="G21" i="3"/>
  <c r="H12" i="3"/>
  <c r="H50" i="2" s="1"/>
  <c r="C20" i="3"/>
  <c r="F22" i="3"/>
  <c r="D19" i="3"/>
  <c r="I21" i="3"/>
  <c r="I12" i="3"/>
  <c r="I50" i="2" s="1"/>
  <c r="C21" i="3"/>
  <c r="D12" i="3"/>
  <c r="D50" i="2" s="1"/>
  <c r="B19" i="3"/>
  <c r="G17" i="3"/>
  <c r="B23" i="3"/>
  <c r="B29" i="3"/>
  <c r="K5" i="3"/>
  <c r="G57" i="2" s="1"/>
  <c r="B20" i="3"/>
  <c r="H19" i="3"/>
  <c r="I19" i="3"/>
  <c r="F19" i="3"/>
  <c r="H29" i="3"/>
  <c r="G16" i="3"/>
  <c r="I19" i="13"/>
  <c r="B17" i="13"/>
  <c r="B24" i="13" s="1"/>
  <c r="C22" i="13"/>
  <c r="E19" i="13"/>
  <c r="B22" i="13"/>
  <c r="G18" i="13"/>
  <c r="D21" i="13"/>
  <c r="D22" i="13"/>
  <c r="C17" i="13"/>
  <c r="F23" i="13"/>
  <c r="F19" i="13"/>
  <c r="E23" i="13"/>
  <c r="H12" i="13"/>
  <c r="I21" i="13"/>
  <c r="I24" i="13" s="1"/>
  <c r="H18" i="13"/>
  <c r="B23" i="13"/>
  <c r="H23" i="13"/>
  <c r="D20" i="13"/>
  <c r="D24" i="13" s="1"/>
  <c r="C18" i="13"/>
  <c r="E18" i="13"/>
  <c r="G20" i="13"/>
  <c r="B20" i="13"/>
  <c r="D12" i="13"/>
  <c r="O5" i="9"/>
  <c r="U5" i="9" s="1"/>
  <c r="J18" i="5"/>
  <c r="J22" i="5"/>
  <c r="M9" i="9"/>
  <c r="U9" i="9" s="1"/>
  <c r="D30" i="9"/>
  <c r="C34" i="9"/>
  <c r="J18" i="4"/>
  <c r="N18" i="11"/>
  <c r="B31" i="9"/>
  <c r="S19" i="11"/>
  <c r="G32" i="9"/>
  <c r="I34" i="9"/>
  <c r="C24" i="4"/>
  <c r="C29" i="9"/>
  <c r="O16" i="11"/>
  <c r="J21" i="4"/>
  <c r="K3" i="13"/>
  <c r="I23" i="13"/>
  <c r="I75" i="9" s="1"/>
  <c r="K8" i="13"/>
  <c r="H20" i="13"/>
  <c r="H72" i="9" s="1"/>
  <c r="C12" i="13"/>
  <c r="H17" i="13"/>
  <c r="T17" i="13" s="1"/>
  <c r="G23" i="13"/>
  <c r="G75" i="9" s="1"/>
  <c r="C20" i="13"/>
  <c r="K4" i="13"/>
  <c r="G49" i="2"/>
  <c r="F18" i="2"/>
  <c r="F5" i="9" s="1"/>
  <c r="D23" i="2"/>
  <c r="D10" i="9" s="1"/>
  <c r="E17" i="2"/>
  <c r="E4" i="9" s="1"/>
  <c r="E19" i="2"/>
  <c r="E6" i="9" s="1"/>
  <c r="E21" i="2"/>
  <c r="E8" i="9" s="1"/>
  <c r="E23" i="2"/>
  <c r="E10" i="9" s="1"/>
  <c r="E12" i="2"/>
  <c r="I49" i="2"/>
  <c r="B23" i="2"/>
  <c r="B17" i="2"/>
  <c r="K10" i="2"/>
  <c r="B56" i="2" s="1"/>
  <c r="E16" i="2"/>
  <c r="I18" i="2"/>
  <c r="I5" i="9" s="1"/>
  <c r="I20" i="2"/>
  <c r="I7" i="9" s="1"/>
  <c r="I22" i="2"/>
  <c r="I9" i="9" s="1"/>
  <c r="K5" i="2"/>
  <c r="G56" i="2" s="1"/>
  <c r="H17" i="2"/>
  <c r="H4" i="9" s="1"/>
  <c r="B22" i="2"/>
  <c r="H12" i="2"/>
  <c r="G17" i="2"/>
  <c r="G4" i="9" s="1"/>
  <c r="C23" i="2"/>
  <c r="C10" i="9" s="1"/>
  <c r="F16" i="2"/>
  <c r="H19" i="2"/>
  <c r="H6" i="9" s="1"/>
  <c r="I17" i="2"/>
  <c r="I4" i="9" s="1"/>
  <c r="C22" i="2"/>
  <c r="C9" i="9" s="1"/>
  <c r="D49" i="2"/>
  <c r="B19" i="2"/>
  <c r="B21" i="2"/>
  <c r="H22" i="2"/>
  <c r="H9" i="9" s="1"/>
  <c r="E18" i="2"/>
  <c r="E5" i="9" s="1"/>
  <c r="G23" i="2"/>
  <c r="G10" i="9" s="1"/>
  <c r="D17" i="2"/>
  <c r="D4" i="9" s="1"/>
  <c r="B20" i="2"/>
  <c r="C20" i="2"/>
  <c r="C7" i="9" s="1"/>
  <c r="H49" i="2"/>
  <c r="E49" i="2"/>
  <c r="I12" i="2"/>
  <c r="K4" i="2"/>
  <c r="H56" i="2" s="1"/>
  <c r="G12" i="2"/>
  <c r="F12" i="2"/>
  <c r="G19" i="2"/>
  <c r="G6" i="9" s="1"/>
  <c r="E22" i="2"/>
  <c r="E9" i="9" s="1"/>
  <c r="H21" i="2"/>
  <c r="H8" i="9" s="1"/>
  <c r="C16" i="2"/>
  <c r="I23" i="2"/>
  <c r="I10" i="9" s="1"/>
  <c r="F23" i="2"/>
  <c r="F10" i="9" s="1"/>
  <c r="E20" i="2"/>
  <c r="E7" i="9" s="1"/>
  <c r="F49" i="2"/>
  <c r="F20" i="2"/>
  <c r="F7" i="9" s="1"/>
  <c r="G16" i="2"/>
  <c r="G20" i="2"/>
  <c r="G7" i="9" s="1"/>
  <c r="H29" i="2"/>
  <c r="F19" i="2"/>
  <c r="F6" i="9" s="1"/>
  <c r="K3" i="2"/>
  <c r="I56" i="2" s="1"/>
  <c r="C49" i="2"/>
  <c r="B12" i="2"/>
  <c r="C21" i="2"/>
  <c r="C8" i="9" s="1"/>
  <c r="K9" i="2"/>
  <c r="C56" i="2" s="1"/>
  <c r="D21" i="2"/>
  <c r="D8" i="9" s="1"/>
  <c r="K7" i="2"/>
  <c r="E56" i="2" s="1"/>
  <c r="D20" i="2"/>
  <c r="D7" i="9" s="1"/>
  <c r="B18" i="2"/>
  <c r="H23" i="2"/>
  <c r="H10" i="9" s="1"/>
  <c r="F21" i="2"/>
  <c r="F8" i="9" s="1"/>
  <c r="G21" i="2"/>
  <c r="G8" i="9" s="1"/>
  <c r="D19" i="2"/>
  <c r="D6" i="9" s="1"/>
  <c r="K8" i="2"/>
  <c r="D56" i="2" s="1"/>
  <c r="G18" i="2"/>
  <c r="G5" i="9" s="1"/>
  <c r="H16" i="2"/>
  <c r="D22" i="2"/>
  <c r="D9" i="9" s="1"/>
  <c r="B16" i="2"/>
  <c r="B29" i="2"/>
  <c r="C12" i="2"/>
  <c r="C19" i="2"/>
  <c r="C6" i="9" s="1"/>
  <c r="D12" i="2"/>
  <c r="G22" i="2"/>
  <c r="G9" i="9" s="1"/>
  <c r="I16" i="2"/>
  <c r="D18" i="2"/>
  <c r="D5" i="9" s="1"/>
  <c r="C18" i="2"/>
  <c r="C5" i="9" s="1"/>
  <c r="C17" i="2"/>
  <c r="C4" i="9" s="1"/>
  <c r="F22" i="2"/>
  <c r="F9" i="9" s="1"/>
  <c r="H18" i="2"/>
  <c r="H5" i="9" s="1"/>
  <c r="H20" i="2"/>
  <c r="H7" i="9" s="1"/>
  <c r="B49" i="2"/>
  <c r="I21" i="2"/>
  <c r="I8" i="9" s="1"/>
  <c r="F17" i="2"/>
  <c r="F4" i="9" s="1"/>
  <c r="D16" i="2"/>
  <c r="I19" i="2"/>
  <c r="I6" i="9" s="1"/>
  <c r="J16" i="5"/>
  <c r="B24" i="5"/>
  <c r="M3" i="9"/>
  <c r="T6" i="9"/>
  <c r="T11" i="9" s="1"/>
  <c r="I24" i="5"/>
  <c r="O3" i="9"/>
  <c r="O11" i="9" s="1"/>
  <c r="D24" i="5"/>
  <c r="J23" i="5"/>
  <c r="M10" i="9"/>
  <c r="U10" i="9" s="1"/>
  <c r="J12" i="5"/>
  <c r="Q49" i="2"/>
  <c r="N3" i="9"/>
  <c r="C24" i="5"/>
  <c r="C44" i="5"/>
  <c r="C42" i="5"/>
  <c r="C40" i="5"/>
  <c r="C41" i="5"/>
  <c r="C43" i="5"/>
  <c r="D34" i="9"/>
  <c r="C32" i="9"/>
  <c r="C36" i="9"/>
  <c r="H36" i="9"/>
  <c r="T23" i="11"/>
  <c r="I32" i="9"/>
  <c r="G16" i="13"/>
  <c r="H22" i="13"/>
  <c r="H74" i="9" s="1"/>
  <c r="I18" i="13"/>
  <c r="U18" i="13" s="1"/>
  <c r="B19" i="13"/>
  <c r="N19" i="13" s="1"/>
  <c r="F17" i="13"/>
  <c r="D18" i="13"/>
  <c r="D70" i="9" s="1"/>
  <c r="K5" i="13"/>
  <c r="K9" i="13"/>
  <c r="K10" i="8"/>
  <c r="Q58" i="2" s="1"/>
  <c r="H24" i="5"/>
  <c r="S3" i="9"/>
  <c r="S11" i="9" s="1"/>
  <c r="E30" i="9"/>
  <c r="Q17" i="11"/>
  <c r="F35" i="9"/>
  <c r="R22" i="11"/>
  <c r="I33" i="9"/>
  <c r="G29" i="9"/>
  <c r="G24" i="4"/>
  <c r="S16" i="11"/>
  <c r="Y67" i="12"/>
  <c r="N67" i="13"/>
  <c r="I24" i="4"/>
  <c r="I29" i="9"/>
  <c r="C38" i="4"/>
  <c r="C32" i="4"/>
  <c r="C31" i="4"/>
  <c r="B54" i="4"/>
  <c r="C37" i="4"/>
  <c r="B41" i="4"/>
  <c r="C42" i="4" s="1"/>
  <c r="C34" i="4"/>
  <c r="C35" i="4"/>
  <c r="C36" i="4"/>
  <c r="C39" i="4"/>
  <c r="C33" i="4"/>
  <c r="C30" i="4"/>
  <c r="C29" i="4"/>
  <c r="B44" i="4"/>
  <c r="J21" i="5"/>
  <c r="M8" i="9"/>
  <c r="U8" i="9" s="1"/>
  <c r="R19" i="11"/>
  <c r="F32" i="9"/>
  <c r="Q18" i="11"/>
  <c r="E31" i="9"/>
  <c r="H44" i="4"/>
  <c r="I36" i="4"/>
  <c r="I33" i="4"/>
  <c r="I37" i="4"/>
  <c r="I34" i="4"/>
  <c r="I38" i="4"/>
  <c r="I30" i="4"/>
  <c r="H41" i="4"/>
  <c r="I42" i="4" s="1"/>
  <c r="I29" i="4"/>
  <c r="I32" i="4"/>
  <c r="I31" i="4"/>
  <c r="I39" i="4"/>
  <c r="I35" i="4"/>
  <c r="R23" i="11"/>
  <c r="F36" i="9"/>
  <c r="J19" i="5"/>
  <c r="N7" i="9"/>
  <c r="U7" i="9" s="1"/>
  <c r="J20" i="5"/>
  <c r="C30" i="9"/>
  <c r="O17" i="11"/>
  <c r="H24" i="4"/>
  <c r="T16" i="11"/>
  <c r="H29" i="9"/>
  <c r="N22" i="11"/>
  <c r="B35" i="9"/>
  <c r="J22" i="4"/>
  <c r="F30" i="9"/>
  <c r="R17" i="11"/>
  <c r="C35" i="9"/>
  <c r="O22" i="11"/>
  <c r="J16" i="4"/>
  <c r="B29" i="9"/>
  <c r="N50" i="13"/>
  <c r="N16" i="11"/>
  <c r="B24" i="4"/>
  <c r="N30" i="13" s="1"/>
  <c r="Y50" i="12"/>
  <c r="B30" i="9"/>
  <c r="N17" i="11"/>
  <c r="J17" i="4"/>
  <c r="H12" i="12"/>
  <c r="R18" i="11"/>
  <c r="F31" i="9"/>
  <c r="D24" i="4"/>
  <c r="P16" i="11"/>
  <c r="D29" i="9"/>
  <c r="G30" i="9"/>
  <c r="S17" i="11"/>
  <c r="E35" i="9"/>
  <c r="J19" i="4"/>
  <c r="B32" i="9"/>
  <c r="E33" i="9"/>
  <c r="Q20" i="11"/>
  <c r="B51" i="2"/>
  <c r="J12" i="4"/>
  <c r="S22" i="11"/>
  <c r="G35" i="9"/>
  <c r="E22" i="13"/>
  <c r="H21" i="13"/>
  <c r="H73" i="9" s="1"/>
  <c r="K6" i="13"/>
  <c r="H29" i="13"/>
  <c r="I33" i="13" s="1"/>
  <c r="I20" i="13"/>
  <c r="U20" i="13" s="1"/>
  <c r="E17" i="13"/>
  <c r="Q17" i="13" s="1"/>
  <c r="H35" i="9"/>
  <c r="E24" i="4"/>
  <c r="E29" i="9"/>
  <c r="Q16" i="11"/>
  <c r="J20" i="4"/>
  <c r="N20" i="11"/>
  <c r="B33" i="9"/>
  <c r="D32" i="9"/>
  <c r="P19" i="11"/>
  <c r="P23" i="11"/>
  <c r="D36" i="9"/>
  <c r="T20" i="11"/>
  <c r="H33" i="9"/>
  <c r="D33" i="9"/>
  <c r="P20" i="11"/>
  <c r="S18" i="11"/>
  <c r="G31" i="9"/>
  <c r="Q3" i="9"/>
  <c r="Q11" i="9" s="1"/>
  <c r="F24" i="5"/>
  <c r="G24" i="5"/>
  <c r="R3" i="9"/>
  <c r="R11" i="9" s="1"/>
  <c r="C18" i="12"/>
  <c r="C22" i="12"/>
  <c r="D19" i="12"/>
  <c r="H16" i="12"/>
  <c r="H20" i="12"/>
  <c r="E18" i="12"/>
  <c r="E22" i="12"/>
  <c r="D21" i="12"/>
  <c r="K5" i="12"/>
  <c r="G18" i="12"/>
  <c r="G22" i="12"/>
  <c r="K6" i="12"/>
  <c r="E19" i="12"/>
  <c r="E23" i="12"/>
  <c r="H21" i="12"/>
  <c r="F17" i="12"/>
  <c r="F21" i="12"/>
  <c r="F18" i="12"/>
  <c r="C19" i="12"/>
  <c r="C23" i="12"/>
  <c r="K10" i="12"/>
  <c r="G16" i="12"/>
  <c r="G20" i="12"/>
  <c r="G12" i="12"/>
  <c r="E12" i="12"/>
  <c r="B19" i="12"/>
  <c r="B23" i="12"/>
  <c r="I16" i="12"/>
  <c r="I20" i="12"/>
  <c r="D17" i="12"/>
  <c r="K7" i="12"/>
  <c r="E17" i="12"/>
  <c r="H17" i="12"/>
  <c r="D18" i="12"/>
  <c r="B29" i="12"/>
  <c r="E20" i="12"/>
  <c r="D23" i="12"/>
  <c r="D12" i="12"/>
  <c r="I17" i="12"/>
  <c r="B18" i="12"/>
  <c r="H18" i="12"/>
  <c r="F16" i="12"/>
  <c r="C21" i="12"/>
  <c r="I21" i="12"/>
  <c r="I12" i="12"/>
  <c r="D22" i="12"/>
  <c r="G17" i="12"/>
  <c r="B16" i="12"/>
  <c r="I19" i="12"/>
  <c r="D16" i="12"/>
  <c r="E16" i="12"/>
  <c r="B20" i="12"/>
  <c r="C20" i="12"/>
  <c r="B17" i="12"/>
  <c r="C17" i="12"/>
  <c r="F12" i="12"/>
  <c r="B12" i="12"/>
  <c r="F20" i="12"/>
  <c r="H22" i="12"/>
  <c r="I22" i="12"/>
  <c r="B22" i="12"/>
  <c r="G19" i="12"/>
  <c r="H23" i="12"/>
  <c r="G21" i="12"/>
  <c r="E21" i="12"/>
  <c r="F23" i="12"/>
  <c r="K8" i="12"/>
  <c r="I23" i="12"/>
  <c r="F22" i="12"/>
  <c r="D20" i="12"/>
  <c r="I18" i="12"/>
  <c r="K9" i="12"/>
  <c r="B21" i="12"/>
  <c r="G23" i="12"/>
  <c r="C16" i="12"/>
  <c r="H29" i="12"/>
  <c r="F19" i="12"/>
  <c r="H19" i="12"/>
  <c r="I30" i="9"/>
  <c r="J58" i="2"/>
  <c r="D19" i="13"/>
  <c r="P19" i="13" s="1"/>
  <c r="F16" i="13"/>
  <c r="E12" i="13"/>
  <c r="C19" i="13"/>
  <c r="C71" i="9" s="1"/>
  <c r="B29" i="13"/>
  <c r="C38" i="13" s="1"/>
  <c r="E21" i="13"/>
  <c r="E73" i="9" s="1"/>
  <c r="H18" i="8"/>
  <c r="I19" i="8"/>
  <c r="F20" i="8"/>
  <c r="G21" i="8"/>
  <c r="E16" i="8"/>
  <c r="C17" i="8"/>
  <c r="H17" i="8"/>
  <c r="D18" i="8"/>
  <c r="E19" i="8"/>
  <c r="C21" i="8"/>
  <c r="H21" i="8"/>
  <c r="D22" i="8"/>
  <c r="I22" i="8"/>
  <c r="F23" i="8"/>
  <c r="B29" i="8"/>
  <c r="D12" i="8"/>
  <c r="S51" i="2" s="1"/>
  <c r="F16" i="8"/>
  <c r="D17" i="8"/>
  <c r="I17" i="8"/>
  <c r="E18" i="8"/>
  <c r="F19" i="8"/>
  <c r="I21" i="8"/>
  <c r="F22" i="8"/>
  <c r="G23" i="8"/>
  <c r="B16" i="8"/>
  <c r="G16" i="8"/>
  <c r="E17" i="8"/>
  <c r="B18" i="8"/>
  <c r="G19" i="8"/>
  <c r="B22" i="8"/>
  <c r="G22" i="8"/>
  <c r="D23" i="8"/>
  <c r="G18" i="8"/>
  <c r="H19" i="8"/>
  <c r="I20" i="8"/>
  <c r="H29" i="8"/>
  <c r="H16" i="8"/>
  <c r="K8" i="8"/>
  <c r="S58" i="2" s="1"/>
  <c r="K4" i="8"/>
  <c r="W58" i="2" s="1"/>
  <c r="C16" i="8"/>
  <c r="G17" i="8"/>
  <c r="B21" i="8"/>
  <c r="C22" i="8"/>
  <c r="E23" i="8"/>
  <c r="B19" i="8"/>
  <c r="C20" i="8"/>
  <c r="E21" i="8"/>
  <c r="H23" i="8"/>
  <c r="H12" i="8"/>
  <c r="W51" i="2" s="1"/>
  <c r="I16" i="8"/>
  <c r="C18" i="8"/>
  <c r="D19" i="8"/>
  <c r="E20" i="8"/>
  <c r="H22" i="8"/>
  <c r="K3" i="8"/>
  <c r="X58" i="2" s="1"/>
  <c r="B17" i="8"/>
  <c r="B20" i="8"/>
  <c r="E22" i="8"/>
  <c r="D16" i="8"/>
  <c r="D20" i="8"/>
  <c r="K9" i="8"/>
  <c r="R58" i="2" s="1"/>
  <c r="I18" i="8"/>
  <c r="D21" i="8"/>
  <c r="K7" i="8"/>
  <c r="T58" i="2" s="1"/>
  <c r="I12" i="8"/>
  <c r="X51" i="2" s="1"/>
  <c r="G20" i="8"/>
  <c r="K6" i="8"/>
  <c r="U58" i="2" s="1"/>
  <c r="B23" i="8"/>
  <c r="C23" i="8"/>
  <c r="K5" i="8"/>
  <c r="V58" i="2" s="1"/>
  <c r="I23" i="8"/>
  <c r="F17" i="8"/>
  <c r="H20" i="8"/>
  <c r="F12" i="8"/>
  <c r="U51" i="2" s="1"/>
  <c r="F18" i="8"/>
  <c r="C19" i="8"/>
  <c r="F21" i="8"/>
  <c r="I16" i="1"/>
  <c r="I20" i="1"/>
  <c r="F18" i="1"/>
  <c r="F22" i="1"/>
  <c r="G16" i="1"/>
  <c r="K6" i="1"/>
  <c r="U57" i="2" s="1"/>
  <c r="C12" i="1"/>
  <c r="R50" i="2" s="1"/>
  <c r="B12" i="1"/>
  <c r="C19" i="1"/>
  <c r="G23" i="1"/>
  <c r="B18" i="1"/>
  <c r="D23" i="1"/>
  <c r="I17" i="1"/>
  <c r="I21" i="1"/>
  <c r="H16" i="1"/>
  <c r="D20" i="1"/>
  <c r="K3" i="1"/>
  <c r="X57" i="2" s="1"/>
  <c r="G12" i="1"/>
  <c r="V50" i="2" s="1"/>
  <c r="F12" i="1"/>
  <c r="U50" i="2" s="1"/>
  <c r="G19" i="1"/>
  <c r="K5" i="1"/>
  <c r="V57" i="2" s="1"/>
  <c r="D19" i="1"/>
  <c r="H23" i="1"/>
  <c r="C18" i="1"/>
  <c r="C22" i="1"/>
  <c r="F17" i="1"/>
  <c r="B21" i="1"/>
  <c r="G17" i="1"/>
  <c r="E22" i="1"/>
  <c r="F16" i="1"/>
  <c r="D21" i="1"/>
  <c r="C20" i="1"/>
  <c r="H29" i="1"/>
  <c r="F21" i="1"/>
  <c r="H22" i="1"/>
  <c r="I22" i="1"/>
  <c r="B20" i="1"/>
  <c r="E17" i="1"/>
  <c r="I23" i="1"/>
  <c r="I12" i="1"/>
  <c r="X50" i="2" s="1"/>
  <c r="F23" i="1"/>
  <c r="K4" i="1"/>
  <c r="W57" i="2" s="1"/>
  <c r="I18" i="1"/>
  <c r="B16" i="1"/>
  <c r="D12" i="1"/>
  <c r="S50" i="2" s="1"/>
  <c r="G20" i="1"/>
  <c r="B19" i="1"/>
  <c r="B23" i="1"/>
  <c r="K10" i="1"/>
  <c r="Q57" i="2" s="1"/>
  <c r="C17" i="1"/>
  <c r="D17" i="1"/>
  <c r="C16" i="1"/>
  <c r="D16" i="1"/>
  <c r="E18" i="1"/>
  <c r="H17" i="1"/>
  <c r="G18" i="1"/>
  <c r="D18" i="1"/>
  <c r="C23" i="1"/>
  <c r="B22" i="1"/>
  <c r="G22" i="1"/>
  <c r="K9" i="1"/>
  <c r="R57" i="2" s="1"/>
  <c r="E23" i="1"/>
  <c r="H20" i="1"/>
  <c r="H19" i="1"/>
  <c r="E12" i="1"/>
  <c r="T50" i="2" s="1"/>
  <c r="H21" i="1"/>
  <c r="F19" i="1"/>
  <c r="F20" i="1"/>
  <c r="H18" i="1"/>
  <c r="C21" i="1"/>
  <c r="I19" i="1"/>
  <c r="B29" i="1"/>
  <c r="G21" i="1"/>
  <c r="E21" i="1"/>
  <c r="K7" i="1"/>
  <c r="T57" i="2" s="1"/>
  <c r="E16" i="1"/>
  <c r="E19" i="1"/>
  <c r="D22" i="1"/>
  <c r="B17" i="1"/>
  <c r="E20" i="1"/>
  <c r="K8" i="1"/>
  <c r="S57" i="2" s="1"/>
  <c r="Y57" i="2" s="1"/>
  <c r="H12" i="1"/>
  <c r="W50" i="2" s="1"/>
  <c r="K7" i="13"/>
  <c r="Y56" i="2"/>
  <c r="P3" i="9"/>
  <c r="P11" i="9" s="1"/>
  <c r="E24" i="5"/>
  <c r="F29" i="9"/>
  <c r="R16" i="11"/>
  <c r="F24" i="4"/>
  <c r="C31" i="9"/>
  <c r="O18" i="11"/>
  <c r="I36" i="9"/>
  <c r="H32" i="9"/>
  <c r="G34" i="9"/>
  <c r="D35" i="9"/>
  <c r="J23" i="4"/>
  <c r="B36" i="9"/>
  <c r="U18" i="11"/>
  <c r="I31" i="9"/>
  <c r="G69" i="9"/>
  <c r="S17" i="13"/>
  <c r="B73" i="9"/>
  <c r="N21" i="13"/>
  <c r="Q20" i="13"/>
  <c r="E72" i="9"/>
  <c r="G74" i="9"/>
  <c r="S22" i="13"/>
  <c r="T21" i="13"/>
  <c r="I38" i="13"/>
  <c r="I32" i="13"/>
  <c r="I29" i="13"/>
  <c r="I35" i="13"/>
  <c r="I39" i="13"/>
  <c r="E69" i="9"/>
  <c r="F68" i="9"/>
  <c r="R16" i="13"/>
  <c r="F24" i="13"/>
  <c r="C32" i="13"/>
  <c r="B41" i="13"/>
  <c r="C42" i="13" s="1"/>
  <c r="C39" i="13"/>
  <c r="C73" i="9"/>
  <c r="O21" i="13"/>
  <c r="T16" i="13"/>
  <c r="H68" i="9"/>
  <c r="U16" i="13"/>
  <c r="I68" i="9"/>
  <c r="O67" i="13"/>
  <c r="G68" i="9"/>
  <c r="S16" i="13"/>
  <c r="G24" i="13"/>
  <c r="T22" i="13"/>
  <c r="O50" i="13"/>
  <c r="N16" i="13"/>
  <c r="J16" i="13"/>
  <c r="B68" i="9"/>
  <c r="D68" i="9"/>
  <c r="P16" i="13"/>
  <c r="C75" i="9"/>
  <c r="O23" i="13"/>
  <c r="G71" i="9"/>
  <c r="S19" i="13"/>
  <c r="C68" i="9"/>
  <c r="O16" i="13"/>
  <c r="G73" i="9"/>
  <c r="S21" i="13"/>
  <c r="P17" i="13"/>
  <c r="D69" i="9"/>
  <c r="U17" i="13"/>
  <c r="I69" i="9"/>
  <c r="T20" i="13"/>
  <c r="H69" i="9"/>
  <c r="O20" i="13"/>
  <c r="C72" i="9"/>
  <c r="F74" i="9"/>
  <c r="R21" i="13"/>
  <c r="F73" i="9"/>
  <c r="E68" i="9"/>
  <c r="Q16" i="13"/>
  <c r="R17" i="13"/>
  <c r="F69" i="9"/>
  <c r="Q22" i="13"/>
  <c r="E74" i="9"/>
  <c r="R18" i="13"/>
  <c r="F70" i="9"/>
  <c r="H71" i="9"/>
  <c r="T19" i="13"/>
  <c r="I74" i="9"/>
  <c r="U22" i="13"/>
  <c r="R20" i="13"/>
  <c r="F72" i="9"/>
  <c r="B70" i="9"/>
  <c r="N18" i="13"/>
  <c r="AW64" i="12" l="1"/>
  <c r="AW63" i="12"/>
  <c r="P687" i="23"/>
  <c r="AY75" i="21"/>
  <c r="AK75" i="21"/>
  <c r="AL75" i="21" s="1"/>
  <c r="N76" i="21"/>
  <c r="AK59" i="21"/>
  <c r="N60" i="21"/>
  <c r="AY47" i="21"/>
  <c r="AY48" i="21" s="1"/>
  <c r="O58" i="21"/>
  <c r="N169" i="23"/>
  <c r="Z57" i="21"/>
  <c r="AA57" i="21" s="1"/>
  <c r="P57" i="21"/>
  <c r="O336" i="23"/>
  <c r="P336" i="23" s="1"/>
  <c r="O672" i="23"/>
  <c r="O728" i="23"/>
  <c r="O560" i="23"/>
  <c r="AL47" i="21"/>
  <c r="AL48" i="21" s="1"/>
  <c r="AJ76" i="21"/>
  <c r="Y77" i="21"/>
  <c r="O352" i="23"/>
  <c r="P352" i="23" s="1"/>
  <c r="O688" i="23"/>
  <c r="O576" i="23"/>
  <c r="O744" i="23"/>
  <c r="N185" i="23"/>
  <c r="Z73" i="21"/>
  <c r="AA73" i="21" s="1"/>
  <c r="AY58" i="21"/>
  <c r="AJ58" i="21"/>
  <c r="AL58" i="21" s="1"/>
  <c r="Y59" i="21"/>
  <c r="O614" i="23"/>
  <c r="O502" i="23"/>
  <c r="P502" i="23" s="1"/>
  <c r="P166" i="23"/>
  <c r="N558" i="23"/>
  <c r="O239" i="23"/>
  <c r="P239" i="23" s="1"/>
  <c r="P127" i="23"/>
  <c r="N803" i="23"/>
  <c r="P467" i="23"/>
  <c r="O798" i="23"/>
  <c r="P798" i="23" s="1"/>
  <c r="P630" i="23"/>
  <c r="N775" i="23"/>
  <c r="P775" i="23" s="1"/>
  <c r="P776" i="23" s="1"/>
  <c r="P439" i="23"/>
  <c r="P440" i="23" s="1"/>
  <c r="O781" i="23"/>
  <c r="P781" i="23" s="1"/>
  <c r="P613" i="23"/>
  <c r="O111" i="23"/>
  <c r="O167" i="23"/>
  <c r="O56" i="23"/>
  <c r="P55" i="23"/>
  <c r="N671" i="23"/>
  <c r="P671" i="23" s="1"/>
  <c r="O631" i="23"/>
  <c r="O519" i="23"/>
  <c r="P519" i="23" s="1"/>
  <c r="P183" i="23"/>
  <c r="N575" i="23"/>
  <c r="N725" i="23"/>
  <c r="P725" i="23" s="1"/>
  <c r="P557" i="23"/>
  <c r="N636" i="23"/>
  <c r="N524" i="23"/>
  <c r="N468" i="23"/>
  <c r="O300" i="23"/>
  <c r="P300" i="23" s="1"/>
  <c r="O394" i="23"/>
  <c r="P394" i="23" s="1"/>
  <c r="O450" i="23"/>
  <c r="N742" i="23"/>
  <c r="P742" i="23" s="1"/>
  <c r="P574" i="23"/>
  <c r="N719" i="23"/>
  <c r="P719" i="23" s="1"/>
  <c r="P720" i="23" s="1"/>
  <c r="P551" i="23"/>
  <c r="P552" i="23" s="1"/>
  <c r="O222" i="23"/>
  <c r="P222" i="23" s="1"/>
  <c r="P110" i="23"/>
  <c r="O73" i="23"/>
  <c r="O184" i="23"/>
  <c r="O128" i="23"/>
  <c r="N688" i="23"/>
  <c r="P72" i="23"/>
  <c r="N618" i="23"/>
  <c r="N450" i="23"/>
  <c r="N506" i="23"/>
  <c r="O282" i="23"/>
  <c r="P282" i="23" s="1"/>
  <c r="N785" i="23"/>
  <c r="P449" i="23"/>
  <c r="O74" i="21"/>
  <c r="P73" i="21"/>
  <c r="P58" i="21"/>
  <c r="C47" i="9"/>
  <c r="O21" i="11"/>
  <c r="I47" i="9"/>
  <c r="U21" i="11"/>
  <c r="F46" i="9"/>
  <c r="R20" i="11"/>
  <c r="T29" i="11"/>
  <c r="I33" i="11"/>
  <c r="I34" i="11"/>
  <c r="H41" i="11"/>
  <c r="I42" i="11" s="1"/>
  <c r="I35" i="11"/>
  <c r="H44" i="11"/>
  <c r="I32" i="11"/>
  <c r="I29" i="11"/>
  <c r="I39" i="11"/>
  <c r="I38" i="11"/>
  <c r="I37" i="11"/>
  <c r="I31" i="11"/>
  <c r="I36" i="11"/>
  <c r="I30" i="11"/>
  <c r="N153" i="15"/>
  <c r="P152" i="15"/>
  <c r="P142" i="15"/>
  <c r="Q22" i="11"/>
  <c r="V22" i="11" s="1"/>
  <c r="U20" i="11"/>
  <c r="O19" i="11"/>
  <c r="J12" i="8"/>
  <c r="Y51" i="2" s="1"/>
  <c r="S29" i="4"/>
  <c r="J23" i="11"/>
  <c r="B49" i="9"/>
  <c r="N23" i="11"/>
  <c r="V23" i="11" s="1"/>
  <c r="J19" i="11"/>
  <c r="N19" i="11"/>
  <c r="B45" i="9"/>
  <c r="E47" i="9"/>
  <c r="Q21" i="11"/>
  <c r="F24" i="11"/>
  <c r="F42" i="9"/>
  <c r="H44" i="9"/>
  <c r="T18" i="11"/>
  <c r="T24" i="11" s="1"/>
  <c r="G46" i="9"/>
  <c r="S20" i="11"/>
  <c r="E45" i="9"/>
  <c r="Q19" i="11"/>
  <c r="V19" i="11" s="1"/>
  <c r="G49" i="9"/>
  <c r="S23" i="11"/>
  <c r="N125" i="15"/>
  <c r="P124" i="15"/>
  <c r="N98" i="15"/>
  <c r="P97" i="15"/>
  <c r="N108" i="15"/>
  <c r="P107" i="15"/>
  <c r="P94" i="15"/>
  <c r="P144" i="15"/>
  <c r="P145" i="15"/>
  <c r="P146" i="15"/>
  <c r="N67" i="12"/>
  <c r="I24" i="11"/>
  <c r="I42" i="9"/>
  <c r="I50" i="9" s="1"/>
  <c r="U23" i="11"/>
  <c r="I49" i="9"/>
  <c r="B47" i="9"/>
  <c r="N21" i="11"/>
  <c r="V21" i="11" s="1"/>
  <c r="J21" i="11"/>
  <c r="E49" i="9"/>
  <c r="Q23" i="11"/>
  <c r="G50" i="9"/>
  <c r="F47" i="9"/>
  <c r="R21" i="11"/>
  <c r="C42" i="9"/>
  <c r="C24" i="11"/>
  <c r="D75" i="9"/>
  <c r="B71" i="9"/>
  <c r="J12" i="12"/>
  <c r="C24" i="13"/>
  <c r="Y22" i="13" s="1"/>
  <c r="B54" i="13"/>
  <c r="C57" i="13" s="1"/>
  <c r="T22" i="11"/>
  <c r="U19" i="11"/>
  <c r="E24" i="13"/>
  <c r="U29" i="4"/>
  <c r="D44" i="9"/>
  <c r="P18" i="11"/>
  <c r="P24" i="11" s="1"/>
  <c r="H24" i="11"/>
  <c r="H47" i="9"/>
  <c r="T21" i="11"/>
  <c r="H50" i="9"/>
  <c r="H45" i="9"/>
  <c r="T19" i="11"/>
  <c r="B46" i="9"/>
  <c r="J20" i="11"/>
  <c r="D42" i="9"/>
  <c r="D24" i="11"/>
  <c r="E42" i="9"/>
  <c r="E24" i="11"/>
  <c r="B43" i="9"/>
  <c r="J17" i="11"/>
  <c r="G42" i="9"/>
  <c r="G24" i="11"/>
  <c r="G47" i="9"/>
  <c r="S21" i="11"/>
  <c r="J18" i="11"/>
  <c r="B44" i="9"/>
  <c r="J44" i="9" s="1"/>
  <c r="R82" i="9" s="1"/>
  <c r="C46" i="9"/>
  <c r="O20" i="11"/>
  <c r="U17" i="11"/>
  <c r="N181" i="15"/>
  <c r="P180" i="15"/>
  <c r="P143" i="15"/>
  <c r="P148" i="15"/>
  <c r="P149" i="15"/>
  <c r="O19" i="13"/>
  <c r="U23" i="13"/>
  <c r="P22" i="11"/>
  <c r="U16" i="11"/>
  <c r="K56" i="2"/>
  <c r="J18" i="13"/>
  <c r="N164" i="15"/>
  <c r="P163" i="15"/>
  <c r="C49" i="9"/>
  <c r="O23" i="11"/>
  <c r="N50" i="12"/>
  <c r="N51" i="12" s="1"/>
  <c r="N52" i="12" s="1"/>
  <c r="N53" i="12" s="1"/>
  <c r="J16" i="11"/>
  <c r="N106" i="13"/>
  <c r="B42" i="9"/>
  <c r="B24" i="11"/>
  <c r="B48" i="9"/>
  <c r="J22" i="11"/>
  <c r="I48" i="9"/>
  <c r="U22" i="11"/>
  <c r="B54" i="11"/>
  <c r="B44" i="11"/>
  <c r="B41" i="11"/>
  <c r="C42" i="11" s="1"/>
  <c r="C32" i="11"/>
  <c r="C30" i="11"/>
  <c r="C39" i="11"/>
  <c r="C29" i="11"/>
  <c r="C37" i="11"/>
  <c r="C35" i="11"/>
  <c r="C38" i="11"/>
  <c r="C34" i="11"/>
  <c r="C33" i="11"/>
  <c r="C36" i="11"/>
  <c r="C31" i="11"/>
  <c r="H43" i="9"/>
  <c r="T17" i="11"/>
  <c r="J12" i="11"/>
  <c r="D43" i="9"/>
  <c r="P17" i="11"/>
  <c r="D47" i="9"/>
  <c r="P21" i="11"/>
  <c r="R24" i="11"/>
  <c r="N11" i="9"/>
  <c r="J31" i="9"/>
  <c r="R81" i="9" s="1"/>
  <c r="J36" i="9"/>
  <c r="M81" i="9" s="1"/>
  <c r="V17" i="11"/>
  <c r="J34" i="9"/>
  <c r="O81" i="9" s="1"/>
  <c r="Z51" i="2"/>
  <c r="O69" i="15"/>
  <c r="O125" i="15" s="1"/>
  <c r="P68" i="15"/>
  <c r="P44" i="15"/>
  <c r="O52" i="15"/>
  <c r="O108" i="15" s="1"/>
  <c r="P51" i="15"/>
  <c r="P38" i="15"/>
  <c r="Q23" i="9"/>
  <c r="I30" i="1"/>
  <c r="I32" i="1"/>
  <c r="I29" i="1"/>
  <c r="I35" i="1"/>
  <c r="I31" i="1"/>
  <c r="I33" i="1"/>
  <c r="I34" i="1"/>
  <c r="H37" i="1"/>
  <c r="I38" i="1" s="1"/>
  <c r="N19" i="9"/>
  <c r="S35" i="9"/>
  <c r="M35" i="9"/>
  <c r="J22" i="8"/>
  <c r="Q36" i="9"/>
  <c r="Q21" i="12"/>
  <c r="E60" i="9"/>
  <c r="H57" i="9"/>
  <c r="T18" i="12"/>
  <c r="F60" i="9"/>
  <c r="R21" i="12"/>
  <c r="B7" i="9"/>
  <c r="J7" i="9" s="1"/>
  <c r="J20" i="2"/>
  <c r="B10" i="9"/>
  <c r="J10" i="9" s="1"/>
  <c r="J23" i="2"/>
  <c r="H19" i="9"/>
  <c r="H7" i="10"/>
  <c r="C6" i="10"/>
  <c r="C18" i="9"/>
  <c r="Y21" i="13"/>
  <c r="Y17" i="13"/>
  <c r="I72" i="9"/>
  <c r="H24" i="13"/>
  <c r="P16" i="9"/>
  <c r="E24" i="1"/>
  <c r="Q20" i="9"/>
  <c r="R22" i="9"/>
  <c r="N16" i="9"/>
  <c r="C24" i="1"/>
  <c r="M16" i="9"/>
  <c r="B24" i="1"/>
  <c r="J16" i="1"/>
  <c r="T22" i="9"/>
  <c r="R17" i="9"/>
  <c r="R19" i="9"/>
  <c r="O23" i="9"/>
  <c r="Q22" i="9"/>
  <c r="S33" i="9"/>
  <c r="M33" i="9"/>
  <c r="J20" i="8"/>
  <c r="R30" i="9"/>
  <c r="R31" i="9"/>
  <c r="M29" i="9"/>
  <c r="B24" i="8"/>
  <c r="J16" i="8"/>
  <c r="Q29" i="9"/>
  <c r="F24" i="8"/>
  <c r="P32" i="9"/>
  <c r="S31" i="9"/>
  <c r="I39" i="12"/>
  <c r="I38" i="12"/>
  <c r="I34" i="12"/>
  <c r="I32" i="12"/>
  <c r="I33" i="12"/>
  <c r="I36" i="12"/>
  <c r="I31" i="12"/>
  <c r="I30" i="12"/>
  <c r="H41" i="12"/>
  <c r="I42" i="12" s="1"/>
  <c r="H44" i="12"/>
  <c r="I29" i="12"/>
  <c r="I37" i="12"/>
  <c r="I35" i="12"/>
  <c r="U23" i="12"/>
  <c r="I62" i="9"/>
  <c r="U22" i="12"/>
  <c r="I61" i="9"/>
  <c r="N20" i="12"/>
  <c r="B59" i="9"/>
  <c r="J20" i="12"/>
  <c r="I60" i="9"/>
  <c r="U21" i="12"/>
  <c r="E59" i="9"/>
  <c r="Q20" i="12"/>
  <c r="I55" i="9"/>
  <c r="O67" i="12"/>
  <c r="U16" i="12"/>
  <c r="I24" i="12"/>
  <c r="O23" i="12"/>
  <c r="C62" i="9"/>
  <c r="H55" i="9"/>
  <c r="H24" i="12"/>
  <c r="T16" i="12"/>
  <c r="J32" i="9"/>
  <c r="Q81" i="9" s="1"/>
  <c r="N37" i="13"/>
  <c r="N33" i="13"/>
  <c r="Y32" i="12"/>
  <c r="N34" i="13"/>
  <c r="Y31" i="12"/>
  <c r="AA31" i="12" s="1"/>
  <c r="N35" i="13"/>
  <c r="Y30" i="12"/>
  <c r="AA30" i="12" s="1"/>
  <c r="N31" i="13"/>
  <c r="N36" i="13"/>
  <c r="N32" i="13"/>
  <c r="J24" i="4"/>
  <c r="H37" i="9"/>
  <c r="I37" i="9"/>
  <c r="K49" i="2"/>
  <c r="J49" i="2"/>
  <c r="I34" i="2"/>
  <c r="I29" i="2"/>
  <c r="I31" i="2"/>
  <c r="H37" i="2"/>
  <c r="I38" i="2" s="1"/>
  <c r="I35" i="2"/>
  <c r="I33" i="2"/>
  <c r="I30" i="2"/>
  <c r="I32" i="2"/>
  <c r="C24" i="2"/>
  <c r="C3" i="9"/>
  <c r="C11" i="9" s="1"/>
  <c r="B8" i="9"/>
  <c r="J8" i="9" s="1"/>
  <c r="J21" i="2"/>
  <c r="E3" i="9"/>
  <c r="E11" i="9" s="1"/>
  <c r="E24" i="2"/>
  <c r="H70" i="9"/>
  <c r="T18" i="13"/>
  <c r="D73" i="9"/>
  <c r="P21" i="13"/>
  <c r="I31" i="3"/>
  <c r="H37" i="3"/>
  <c r="I38" i="3" s="1"/>
  <c r="I34" i="3"/>
  <c r="I33" i="3"/>
  <c r="I35" i="3"/>
  <c r="I29" i="3"/>
  <c r="I30" i="3"/>
  <c r="I32" i="3"/>
  <c r="G17" i="9"/>
  <c r="G5" i="10"/>
  <c r="C20" i="9"/>
  <c r="C8" i="10"/>
  <c r="F20" i="9"/>
  <c r="F8" i="10"/>
  <c r="C23" i="9"/>
  <c r="C11" i="10"/>
  <c r="D23" i="9"/>
  <c r="D11" i="10"/>
  <c r="C16" i="9"/>
  <c r="C4" i="10"/>
  <c r="C24" i="3"/>
  <c r="H18" i="9"/>
  <c r="H6" i="10"/>
  <c r="I18" i="9"/>
  <c r="I6" i="10"/>
  <c r="H17" i="9"/>
  <c r="H5" i="10"/>
  <c r="D71" i="9"/>
  <c r="C30" i="13"/>
  <c r="C29" i="13"/>
  <c r="I36" i="13"/>
  <c r="Q19" i="9"/>
  <c r="M22" i="9"/>
  <c r="J22" i="1"/>
  <c r="O17" i="9"/>
  <c r="T18" i="9"/>
  <c r="S22" i="9"/>
  <c r="M21" i="9"/>
  <c r="J21" i="1"/>
  <c r="M18" i="9"/>
  <c r="J18" i="1"/>
  <c r="Q18" i="9"/>
  <c r="Q30" i="9"/>
  <c r="J17" i="8"/>
  <c r="M30" i="9"/>
  <c r="S36" i="9"/>
  <c r="N29" i="9"/>
  <c r="C24" i="8"/>
  <c r="O36" i="9"/>
  <c r="R36" i="9"/>
  <c r="O31" i="9"/>
  <c r="C55" i="9"/>
  <c r="C24" i="12"/>
  <c r="O16" i="12"/>
  <c r="H61" i="9"/>
  <c r="T22" i="12"/>
  <c r="Q16" i="12"/>
  <c r="E24" i="12"/>
  <c r="E55" i="9"/>
  <c r="C60" i="9"/>
  <c r="O21" i="12"/>
  <c r="B54" i="12"/>
  <c r="C33" i="12"/>
  <c r="B41" i="12"/>
  <c r="C42" i="12" s="1"/>
  <c r="C30" i="12"/>
  <c r="C34" i="12"/>
  <c r="C35" i="12"/>
  <c r="C39" i="12"/>
  <c r="C31" i="12"/>
  <c r="C36" i="12"/>
  <c r="C32" i="12"/>
  <c r="B44" i="12"/>
  <c r="C38" i="12"/>
  <c r="C29" i="12"/>
  <c r="C37" i="12"/>
  <c r="N23" i="12"/>
  <c r="J23" i="12"/>
  <c r="B62" i="9"/>
  <c r="C58" i="9"/>
  <c r="O19" i="12"/>
  <c r="G61" i="9"/>
  <c r="S22" i="12"/>
  <c r="D58" i="9"/>
  <c r="P19" i="12"/>
  <c r="J33" i="9"/>
  <c r="P81" i="9" s="1"/>
  <c r="D37" i="9"/>
  <c r="V16" i="11"/>
  <c r="N24" i="11"/>
  <c r="C47" i="4"/>
  <c r="C46" i="4"/>
  <c r="C50" i="4"/>
  <c r="C52" i="4"/>
  <c r="C45" i="4"/>
  <c r="C51" i="4"/>
  <c r="C49" i="4"/>
  <c r="C48" i="4"/>
  <c r="C44" i="4"/>
  <c r="Y49" i="2"/>
  <c r="Z49" i="2"/>
  <c r="U3" i="9"/>
  <c r="M11" i="9"/>
  <c r="U11" i="9" s="1"/>
  <c r="J19" i="2"/>
  <c r="B6" i="9"/>
  <c r="J6" i="9" s="1"/>
  <c r="J56" i="2"/>
  <c r="O24" i="11"/>
  <c r="B72" i="9"/>
  <c r="N20" i="13"/>
  <c r="V20" i="13" s="1"/>
  <c r="I73" i="9"/>
  <c r="U21" i="13"/>
  <c r="G70" i="9"/>
  <c r="S18" i="13"/>
  <c r="F19" i="9"/>
  <c r="F7" i="10"/>
  <c r="J19" i="3"/>
  <c r="B7" i="10"/>
  <c r="B19" i="9"/>
  <c r="J57" i="2"/>
  <c r="H20" i="9"/>
  <c r="H8" i="10"/>
  <c r="E6" i="10"/>
  <c r="E18" i="9"/>
  <c r="AK50" i="12"/>
  <c r="J16" i="3"/>
  <c r="B16" i="9"/>
  <c r="B24" i="3"/>
  <c r="B4" i="10"/>
  <c r="G18" i="9"/>
  <c r="G6" i="10"/>
  <c r="D18" i="9"/>
  <c r="D6" i="10"/>
  <c r="J22" i="3"/>
  <c r="B10" i="10"/>
  <c r="B22" i="9"/>
  <c r="J19" i="13"/>
  <c r="C36" i="13"/>
  <c r="I31" i="13"/>
  <c r="F37" i="9"/>
  <c r="P21" i="9"/>
  <c r="S21" i="9"/>
  <c r="N23" i="9"/>
  <c r="N17" i="9"/>
  <c r="Q21" i="9"/>
  <c r="Q17" i="9"/>
  <c r="R23" i="9"/>
  <c r="T20" i="9"/>
  <c r="T36" i="9"/>
  <c r="O34" i="9"/>
  <c r="P34" i="9"/>
  <c r="R35" i="9"/>
  <c r="Q35" i="9"/>
  <c r="C34" i="8"/>
  <c r="B37" i="8"/>
  <c r="C38" i="8" s="1"/>
  <c r="B40" i="8"/>
  <c r="C29" i="8"/>
  <c r="C31" i="8"/>
  <c r="C32" i="8"/>
  <c r="C35" i="8"/>
  <c r="C33" i="8"/>
  <c r="C30" i="8"/>
  <c r="S30" i="9"/>
  <c r="S23" i="12"/>
  <c r="G62" i="9"/>
  <c r="F62" i="9"/>
  <c r="R23" i="12"/>
  <c r="R20" i="12"/>
  <c r="F59" i="9"/>
  <c r="D55" i="9"/>
  <c r="P16" i="12"/>
  <c r="D24" i="12"/>
  <c r="F55" i="9"/>
  <c r="R16" i="12"/>
  <c r="F24" i="12"/>
  <c r="P18" i="12"/>
  <c r="D57" i="9"/>
  <c r="B58" i="9"/>
  <c r="J19" i="12"/>
  <c r="N19" i="12"/>
  <c r="F57" i="9"/>
  <c r="R18" i="12"/>
  <c r="G57" i="9"/>
  <c r="S18" i="12"/>
  <c r="C61" i="9"/>
  <c r="O22" i="12"/>
  <c r="V20" i="11"/>
  <c r="O274" i="13"/>
  <c r="N442" i="13"/>
  <c r="N51" i="13"/>
  <c r="N68" i="13"/>
  <c r="N459" i="13"/>
  <c r="O291" i="13"/>
  <c r="J24" i="5"/>
  <c r="G24" i="2"/>
  <c r="G3" i="9"/>
  <c r="G11" i="9" s="1"/>
  <c r="B9" i="9"/>
  <c r="J9" i="9" s="1"/>
  <c r="J22" i="2"/>
  <c r="J17" i="2"/>
  <c r="B4" i="9"/>
  <c r="J4" i="9" s="1"/>
  <c r="J12" i="13"/>
  <c r="C37" i="9"/>
  <c r="G72" i="9"/>
  <c r="J72" i="9" s="1"/>
  <c r="P84" i="9" s="1"/>
  <c r="S20" i="13"/>
  <c r="N22" i="13"/>
  <c r="B74" i="9"/>
  <c r="I19" i="9"/>
  <c r="I7" i="10"/>
  <c r="G21" i="9"/>
  <c r="G9" i="10"/>
  <c r="E22" i="9"/>
  <c r="E10" i="10"/>
  <c r="C7" i="10"/>
  <c r="C19" i="9"/>
  <c r="F18" i="9"/>
  <c r="F6" i="10"/>
  <c r="G11" i="10"/>
  <c r="G23" i="9"/>
  <c r="I24" i="1"/>
  <c r="T16" i="9"/>
  <c r="N30" i="9"/>
  <c r="H56" i="9"/>
  <c r="T17" i="12"/>
  <c r="C57" i="9"/>
  <c r="O18" i="12"/>
  <c r="Q18" i="13"/>
  <c r="E70" i="9"/>
  <c r="E71" i="9"/>
  <c r="Q19" i="13"/>
  <c r="C21" i="9"/>
  <c r="C9" i="10"/>
  <c r="D21" i="9"/>
  <c r="D9" i="10"/>
  <c r="F11" i="10"/>
  <c r="F23" i="9"/>
  <c r="P20" i="9"/>
  <c r="C35" i="1"/>
  <c r="C34" i="1"/>
  <c r="B37" i="1"/>
  <c r="C38" i="1" s="1"/>
  <c r="C31" i="1"/>
  <c r="C33" i="1"/>
  <c r="B40" i="1"/>
  <c r="C29" i="1"/>
  <c r="C32" i="1"/>
  <c r="C30" i="1"/>
  <c r="R18" i="9"/>
  <c r="M23" i="9"/>
  <c r="J23" i="1"/>
  <c r="N20" i="9"/>
  <c r="O20" i="9"/>
  <c r="M32" i="9"/>
  <c r="J19" i="8"/>
  <c r="R32" i="9"/>
  <c r="T35" i="9"/>
  <c r="S21" i="12"/>
  <c r="G60" i="9"/>
  <c r="O50" i="12"/>
  <c r="B55" i="9"/>
  <c r="B24" i="12"/>
  <c r="N16" i="12"/>
  <c r="J16" i="12"/>
  <c r="K51" i="2"/>
  <c r="J51" i="2"/>
  <c r="I44" i="4"/>
  <c r="I50" i="4"/>
  <c r="I46" i="4"/>
  <c r="I47" i="4"/>
  <c r="I48" i="4"/>
  <c r="I49" i="4"/>
  <c r="I45" i="4"/>
  <c r="I52" i="4"/>
  <c r="I51" i="4"/>
  <c r="F71" i="9"/>
  <c r="R19" i="13"/>
  <c r="E7" i="10"/>
  <c r="E19" i="9"/>
  <c r="D5" i="10"/>
  <c r="D17" i="9"/>
  <c r="E9" i="10"/>
  <c r="E21" i="9"/>
  <c r="AK67" i="12"/>
  <c r="I24" i="3"/>
  <c r="I4" i="10"/>
  <c r="I16" i="9"/>
  <c r="B6" i="10"/>
  <c r="B18" i="9"/>
  <c r="J18" i="3"/>
  <c r="B9" i="10"/>
  <c r="B21" i="9"/>
  <c r="J21" i="3"/>
  <c r="I70" i="9"/>
  <c r="I37" i="13"/>
  <c r="T19" i="9"/>
  <c r="S20" i="9"/>
  <c r="M19" i="9"/>
  <c r="J19" i="1"/>
  <c r="T23" i="9"/>
  <c r="S23" i="9"/>
  <c r="H24" i="1"/>
  <c r="S16" i="9"/>
  <c r="N32" i="9"/>
  <c r="O33" i="9"/>
  <c r="P36" i="9"/>
  <c r="J18" i="8"/>
  <c r="M31" i="9"/>
  <c r="O35" i="9"/>
  <c r="U18" i="12"/>
  <c r="I57" i="9"/>
  <c r="O17" i="12"/>
  <c r="C56" i="9"/>
  <c r="U17" i="12"/>
  <c r="I56" i="9"/>
  <c r="G59" i="9"/>
  <c r="S20" i="12"/>
  <c r="Q22" i="12"/>
  <c r="E61" i="9"/>
  <c r="J30" i="9"/>
  <c r="S81" i="9" s="1"/>
  <c r="P20" i="13"/>
  <c r="D72" i="9"/>
  <c r="I9" i="10"/>
  <c r="I21" i="9"/>
  <c r="C10" i="10"/>
  <c r="C22" i="9"/>
  <c r="I22" i="9"/>
  <c r="I10" i="10"/>
  <c r="S23" i="13"/>
  <c r="P18" i="13"/>
  <c r="AF20" i="13"/>
  <c r="AF17" i="13"/>
  <c r="C37" i="13"/>
  <c r="I34" i="13"/>
  <c r="H44" i="13"/>
  <c r="I51" i="13" s="1"/>
  <c r="J21" i="13"/>
  <c r="O22" i="9"/>
  <c r="N21" i="9"/>
  <c r="P23" i="9"/>
  <c r="P18" i="9"/>
  <c r="R20" i="9"/>
  <c r="P17" i="9"/>
  <c r="Q16" i="9"/>
  <c r="F24" i="1"/>
  <c r="O19" i="9"/>
  <c r="T21" i="9"/>
  <c r="Z57" i="2"/>
  <c r="Q31" i="9"/>
  <c r="Z58" i="2"/>
  <c r="D24" i="8"/>
  <c r="O29" i="9"/>
  <c r="N31" i="9"/>
  <c r="N35" i="9"/>
  <c r="T33" i="9"/>
  <c r="P30" i="9"/>
  <c r="T30" i="9"/>
  <c r="S34" i="9"/>
  <c r="Q33" i="9"/>
  <c r="H58" i="9"/>
  <c r="T19" i="12"/>
  <c r="D59" i="9"/>
  <c r="P20" i="12"/>
  <c r="S19" i="12"/>
  <c r="G58" i="9"/>
  <c r="J17" i="12"/>
  <c r="B56" i="9"/>
  <c r="N17" i="12"/>
  <c r="P22" i="12"/>
  <c r="D61" i="9"/>
  <c r="P17" i="12"/>
  <c r="D56" i="9"/>
  <c r="S16" i="12"/>
  <c r="G55" i="9"/>
  <c r="G24" i="12"/>
  <c r="E62" i="9"/>
  <c r="Q23" i="12"/>
  <c r="Q18" i="12"/>
  <c r="E57" i="9"/>
  <c r="E37" i="9"/>
  <c r="U6" i="9"/>
  <c r="B5" i="9"/>
  <c r="J5" i="9" s="1"/>
  <c r="J18" i="2"/>
  <c r="F24" i="2"/>
  <c r="F3" i="9"/>
  <c r="F11" i="9" s="1"/>
  <c r="H75" i="9"/>
  <c r="H76" i="9" s="1"/>
  <c r="T23" i="13"/>
  <c r="C69" i="9"/>
  <c r="O17" i="13"/>
  <c r="I71" i="9"/>
  <c r="U19" i="13"/>
  <c r="B40" i="3"/>
  <c r="C31" i="3"/>
  <c r="C30" i="3"/>
  <c r="C35" i="3"/>
  <c r="C34" i="3"/>
  <c r="B37" i="3"/>
  <c r="C38" i="3" s="1"/>
  <c r="C33" i="3"/>
  <c r="C32" i="3"/>
  <c r="C29" i="3"/>
  <c r="D19" i="9"/>
  <c r="D7" i="10"/>
  <c r="H22" i="9"/>
  <c r="H10" i="10"/>
  <c r="J17" i="3"/>
  <c r="B17" i="9"/>
  <c r="B5" i="10"/>
  <c r="D20" i="9"/>
  <c r="D8" i="10"/>
  <c r="D24" i="3"/>
  <c r="D16" i="9"/>
  <c r="D4" i="10"/>
  <c r="I11" i="10"/>
  <c r="I23" i="9"/>
  <c r="F9" i="10"/>
  <c r="F21" i="9"/>
  <c r="F17" i="9"/>
  <c r="F5" i="10"/>
  <c r="R21" i="9"/>
  <c r="O18" i="9"/>
  <c r="N22" i="9"/>
  <c r="T31" i="9"/>
  <c r="N33" i="9"/>
  <c r="T34" i="9"/>
  <c r="J21" i="12"/>
  <c r="N21" i="12"/>
  <c r="B60" i="9"/>
  <c r="U19" i="12"/>
  <c r="I58" i="9"/>
  <c r="B37" i="9"/>
  <c r="J29" i="9"/>
  <c r="T81" i="9" s="1"/>
  <c r="C61" i="4"/>
  <c r="C57" i="4"/>
  <c r="C56" i="4"/>
  <c r="C55" i="4"/>
  <c r="C59" i="4"/>
  <c r="C58" i="4"/>
  <c r="C60" i="4"/>
  <c r="Q23" i="13"/>
  <c r="E75" i="9"/>
  <c r="G20" i="9"/>
  <c r="G8" i="10"/>
  <c r="H23" i="9"/>
  <c r="H11" i="10"/>
  <c r="J12" i="3"/>
  <c r="B50" i="2"/>
  <c r="C5" i="10"/>
  <c r="C17" i="9"/>
  <c r="Q21" i="13"/>
  <c r="S19" i="9"/>
  <c r="N18" i="9"/>
  <c r="J12" i="1"/>
  <c r="Q50" i="2"/>
  <c r="Q34" i="9"/>
  <c r="N36" i="9"/>
  <c r="P33" i="9"/>
  <c r="H24" i="8"/>
  <c r="S29" i="9"/>
  <c r="Q32" i="9"/>
  <c r="E24" i="8"/>
  <c r="P29" i="9"/>
  <c r="C34" i="13"/>
  <c r="C33" i="13"/>
  <c r="J18" i="12"/>
  <c r="B57" i="9"/>
  <c r="N18" i="12"/>
  <c r="V18" i="12" s="1"/>
  <c r="E56" i="9"/>
  <c r="Q17" i="12"/>
  <c r="F56" i="9"/>
  <c r="R17" i="12"/>
  <c r="P21" i="12"/>
  <c r="D60" i="9"/>
  <c r="Y40" i="12"/>
  <c r="AA40" i="12" s="1"/>
  <c r="N40" i="13"/>
  <c r="Y68" i="12"/>
  <c r="AA67" i="12"/>
  <c r="B40" i="2"/>
  <c r="C30" i="2"/>
  <c r="B37" i="2"/>
  <c r="C38" i="2" s="1"/>
  <c r="C32" i="2"/>
  <c r="C34" i="2"/>
  <c r="C31" i="2"/>
  <c r="C29" i="2"/>
  <c r="C35" i="2"/>
  <c r="C33" i="2"/>
  <c r="J12" i="2"/>
  <c r="C70" i="9"/>
  <c r="J70" i="9" s="1"/>
  <c r="R84" i="9" s="1"/>
  <c r="O18" i="13"/>
  <c r="O22" i="13"/>
  <c r="C74" i="9"/>
  <c r="B20" i="9"/>
  <c r="J20" i="3"/>
  <c r="B8" i="10"/>
  <c r="E16" i="9"/>
  <c r="E4" i="10"/>
  <c r="E24" i="3"/>
  <c r="I20" i="9"/>
  <c r="I8" i="10"/>
  <c r="C31" i="13"/>
  <c r="I30" i="13"/>
  <c r="M17" i="9"/>
  <c r="J17" i="1"/>
  <c r="S17" i="9"/>
  <c r="O21" i="9"/>
  <c r="M36" i="9"/>
  <c r="J23" i="8"/>
  <c r="O32" i="9"/>
  <c r="I31" i="8"/>
  <c r="I35" i="8"/>
  <c r="H37" i="8"/>
  <c r="I38" i="8" s="1"/>
  <c r="I29" i="8"/>
  <c r="I33" i="8"/>
  <c r="I34" i="8"/>
  <c r="I32" i="8"/>
  <c r="I30" i="8"/>
  <c r="P31" i="9"/>
  <c r="R34" i="9"/>
  <c r="H62" i="9"/>
  <c r="T23" i="12"/>
  <c r="G56" i="9"/>
  <c r="S17" i="12"/>
  <c r="T21" i="12"/>
  <c r="H60" i="9"/>
  <c r="J35" i="9"/>
  <c r="N81" i="9" s="1"/>
  <c r="S24" i="11"/>
  <c r="D3" i="9"/>
  <c r="D11" i="9" s="1"/>
  <c r="D24" i="2"/>
  <c r="AJ50" i="12"/>
  <c r="B3" i="9"/>
  <c r="B24" i="2"/>
  <c r="J16" i="2"/>
  <c r="AJ40" i="12" s="1"/>
  <c r="F75" i="9"/>
  <c r="R23" i="13"/>
  <c r="B69" i="9"/>
  <c r="J69" i="9" s="1"/>
  <c r="S84" i="9" s="1"/>
  <c r="N17" i="13"/>
  <c r="J17" i="13"/>
  <c r="H9" i="10"/>
  <c r="H21" i="9"/>
  <c r="K57" i="2"/>
  <c r="D22" i="9"/>
  <c r="D10" i="10"/>
  <c r="E20" i="9"/>
  <c r="E8" i="10"/>
  <c r="G22" i="9"/>
  <c r="G10" i="10"/>
  <c r="J23" i="13"/>
  <c r="B44" i="13"/>
  <c r="C44" i="13" s="1"/>
  <c r="C35" i="13"/>
  <c r="H41" i="13"/>
  <c r="I42" i="13" s="1"/>
  <c r="P19" i="9"/>
  <c r="S18" i="9"/>
  <c r="O16" i="9"/>
  <c r="D24" i="1"/>
  <c r="M20" i="9"/>
  <c r="J20" i="1"/>
  <c r="P22" i="9"/>
  <c r="T17" i="9"/>
  <c r="G24" i="1"/>
  <c r="R16" i="9"/>
  <c r="R33" i="9"/>
  <c r="P35" i="9"/>
  <c r="T29" i="9"/>
  <c r="I24" i="8"/>
  <c r="M34" i="9"/>
  <c r="J21" i="8"/>
  <c r="S32" i="9"/>
  <c r="G24" i="8"/>
  <c r="R29" i="9"/>
  <c r="O30" i="9"/>
  <c r="N34" i="9"/>
  <c r="T32" i="9"/>
  <c r="F58" i="9"/>
  <c r="R19" i="12"/>
  <c r="R22" i="12"/>
  <c r="F61" i="9"/>
  <c r="B61" i="9"/>
  <c r="J22" i="12"/>
  <c r="N22" i="12"/>
  <c r="O20" i="12"/>
  <c r="C59" i="9"/>
  <c r="D62" i="9"/>
  <c r="P23" i="12"/>
  <c r="I59" i="9"/>
  <c r="U20" i="12"/>
  <c r="Q19" i="12"/>
  <c r="E58" i="9"/>
  <c r="H59" i="9"/>
  <c r="T20" i="12"/>
  <c r="J22" i="13"/>
  <c r="AA50" i="12"/>
  <c r="Y51" i="12"/>
  <c r="U24" i="11"/>
  <c r="G37" i="9"/>
  <c r="Y58" i="2"/>
  <c r="AJ67" i="12"/>
  <c r="I24" i="2"/>
  <c r="I3" i="9"/>
  <c r="I11" i="9" s="1"/>
  <c r="H3" i="9"/>
  <c r="H11" i="9" s="1"/>
  <c r="H24" i="2"/>
  <c r="J20" i="13"/>
  <c r="B75" i="9"/>
  <c r="N23" i="13"/>
  <c r="P22" i="13"/>
  <c r="D74" i="9"/>
  <c r="G24" i="3"/>
  <c r="G16" i="9"/>
  <c r="G4" i="10"/>
  <c r="J23" i="3"/>
  <c r="B23" i="9"/>
  <c r="B11" i="10"/>
  <c r="F22" i="9"/>
  <c r="F10" i="10"/>
  <c r="H24" i="3"/>
  <c r="H4" i="10"/>
  <c r="H16" i="9"/>
  <c r="E5" i="10"/>
  <c r="E17" i="9"/>
  <c r="F4" i="10"/>
  <c r="F24" i="3"/>
  <c r="F16" i="9"/>
  <c r="G19" i="9"/>
  <c r="G7" i="10"/>
  <c r="E23" i="9"/>
  <c r="E11" i="10"/>
  <c r="I17" i="9"/>
  <c r="I5" i="10"/>
  <c r="J75" i="9"/>
  <c r="M84" i="9" s="1"/>
  <c r="N54" i="12"/>
  <c r="V17" i="13"/>
  <c r="O88" i="13"/>
  <c r="O91" i="13"/>
  <c r="O30" i="13"/>
  <c r="O200" i="13"/>
  <c r="O144" i="13"/>
  <c r="O480" i="13" s="1"/>
  <c r="O87" i="13"/>
  <c r="P87" i="13" s="1"/>
  <c r="O86" i="13"/>
  <c r="O37" i="13"/>
  <c r="P37" i="13" s="1"/>
  <c r="O202" i="13"/>
  <c r="O35" i="13"/>
  <c r="P35" i="13" s="1"/>
  <c r="O205" i="13"/>
  <c r="O146" i="13"/>
  <c r="O482" i="13" s="1"/>
  <c r="O142" i="13"/>
  <c r="O478" i="13" s="1"/>
  <c r="O198" i="13"/>
  <c r="O145" i="13"/>
  <c r="O481" i="13" s="1"/>
  <c r="O90" i="13"/>
  <c r="O36" i="13"/>
  <c r="P36" i="13" s="1"/>
  <c r="O201" i="13"/>
  <c r="O199" i="13"/>
  <c r="O93" i="13"/>
  <c r="O33" i="13"/>
  <c r="P33" i="13" s="1"/>
  <c r="O31" i="13"/>
  <c r="O89" i="13"/>
  <c r="O51" i="13"/>
  <c r="P50" i="13"/>
  <c r="O106" i="13"/>
  <c r="O162" i="13"/>
  <c r="O498" i="13" s="1"/>
  <c r="C45" i="13"/>
  <c r="C48" i="13"/>
  <c r="I49" i="13"/>
  <c r="I52" i="13"/>
  <c r="I45" i="13"/>
  <c r="I47" i="13"/>
  <c r="P24" i="13"/>
  <c r="C61" i="13"/>
  <c r="C60" i="13"/>
  <c r="C59" i="13"/>
  <c r="C58" i="13"/>
  <c r="C56" i="13"/>
  <c r="C55" i="13"/>
  <c r="J73" i="9"/>
  <c r="O84" i="9" s="1"/>
  <c r="J68" i="9"/>
  <c r="T84" i="9" s="1"/>
  <c r="O123" i="13"/>
  <c r="O68" i="13"/>
  <c r="P67" i="13"/>
  <c r="O179" i="13"/>
  <c r="O515" i="13" s="1"/>
  <c r="O158" i="13"/>
  <c r="O494" i="13" s="1"/>
  <c r="O103" i="13"/>
  <c r="O99" i="13"/>
  <c r="O208" i="13"/>
  <c r="O154" i="13"/>
  <c r="O490" i="13" s="1"/>
  <c r="O96" i="13"/>
  <c r="O100" i="13"/>
  <c r="O212" i="13"/>
  <c r="O155" i="13"/>
  <c r="O491" i="13" s="1"/>
  <c r="O40" i="13"/>
  <c r="O152" i="13"/>
  <c r="O488" i="13" s="1"/>
  <c r="O98" i="13"/>
  <c r="O209" i="13"/>
  <c r="V16" i="13"/>
  <c r="N24" i="13"/>
  <c r="AW65" i="12" l="1"/>
  <c r="BC33" i="12" s="1"/>
  <c r="AK76" i="21"/>
  <c r="AY76" i="21"/>
  <c r="N77" i="21"/>
  <c r="Z74" i="21"/>
  <c r="AA74" i="21" s="1"/>
  <c r="N186" i="23"/>
  <c r="AJ59" i="21"/>
  <c r="AL59" i="21" s="1"/>
  <c r="Y60" i="21"/>
  <c r="O353" i="23"/>
  <c r="P353" i="23" s="1"/>
  <c r="O689" i="23"/>
  <c r="O577" i="23"/>
  <c r="O745" i="23"/>
  <c r="AK60" i="21"/>
  <c r="N61" i="21"/>
  <c r="P688" i="23"/>
  <c r="AJ77" i="21"/>
  <c r="Y78" i="21"/>
  <c r="O337" i="23"/>
  <c r="P337" i="23" s="1"/>
  <c r="O729" i="23"/>
  <c r="O673" i="23"/>
  <c r="O561" i="23"/>
  <c r="AY59" i="21"/>
  <c r="AL76" i="21"/>
  <c r="O59" i="21"/>
  <c r="N170" i="23"/>
  <c r="Z58" i="21"/>
  <c r="AA58" i="21" s="1"/>
  <c r="O185" i="23"/>
  <c r="O129" i="23"/>
  <c r="O74" i="23"/>
  <c r="P73" i="23"/>
  <c r="N689" i="23"/>
  <c r="N525" i="23"/>
  <c r="N469" i="23"/>
  <c r="O301" i="23"/>
  <c r="P301" i="23" s="1"/>
  <c r="N637" i="23"/>
  <c r="O615" i="23"/>
  <c r="O503" i="23"/>
  <c r="P503" i="23" s="1"/>
  <c r="P167" i="23"/>
  <c r="N559" i="23"/>
  <c r="O223" i="23"/>
  <c r="P223" i="23" s="1"/>
  <c r="P111" i="23"/>
  <c r="O240" i="23"/>
  <c r="P240" i="23" s="1"/>
  <c r="P128" i="23"/>
  <c r="O451" i="23"/>
  <c r="O395" i="23"/>
  <c r="P395" i="23" s="1"/>
  <c r="N804" i="23"/>
  <c r="P468" i="23"/>
  <c r="N619" i="23"/>
  <c r="N507" i="23"/>
  <c r="N451" i="23"/>
  <c r="O283" i="23"/>
  <c r="P283" i="23" s="1"/>
  <c r="O799" i="23"/>
  <c r="P799" i="23" s="1"/>
  <c r="P631" i="23"/>
  <c r="N726" i="23"/>
  <c r="P726" i="23" s="1"/>
  <c r="P558" i="23"/>
  <c r="N786" i="23"/>
  <c r="P450" i="23"/>
  <c r="N743" i="23"/>
  <c r="P743" i="23" s="1"/>
  <c r="P575" i="23"/>
  <c r="O520" i="23"/>
  <c r="P520" i="23" s="1"/>
  <c r="O632" i="23"/>
  <c r="P184" i="23"/>
  <c r="N576" i="23"/>
  <c r="O112" i="23"/>
  <c r="O57" i="23"/>
  <c r="O168" i="23"/>
  <c r="P56" i="23"/>
  <c r="N672" i="23"/>
  <c r="P672" i="23" s="1"/>
  <c r="O782" i="23"/>
  <c r="P782" i="23" s="1"/>
  <c r="P614" i="23"/>
  <c r="O75" i="21"/>
  <c r="P74" i="21"/>
  <c r="I46" i="13"/>
  <c r="I50" i="13"/>
  <c r="I44" i="13"/>
  <c r="I48" i="13"/>
  <c r="AF23" i="13"/>
  <c r="Y19" i="13"/>
  <c r="D50" i="9"/>
  <c r="Y23" i="11"/>
  <c r="Y24" i="11"/>
  <c r="N89" i="13"/>
  <c r="N91" i="13"/>
  <c r="N31" i="12"/>
  <c r="N36" i="12"/>
  <c r="Y19" i="11"/>
  <c r="N90" i="13"/>
  <c r="N32" i="12"/>
  <c r="Y21" i="11"/>
  <c r="Y22" i="11"/>
  <c r="N86" i="13"/>
  <c r="N88" i="13"/>
  <c r="N37" i="12"/>
  <c r="N35" i="12"/>
  <c r="Y18" i="11"/>
  <c r="N92" i="13"/>
  <c r="Y17" i="11"/>
  <c r="Y20" i="11"/>
  <c r="N93" i="13"/>
  <c r="N34" i="12"/>
  <c r="N33" i="12"/>
  <c r="N30" i="12"/>
  <c r="J24" i="11"/>
  <c r="P164" i="15"/>
  <c r="N165" i="15"/>
  <c r="AF19" i="11"/>
  <c r="V38" i="4"/>
  <c r="V33" i="4"/>
  <c r="V39" i="4"/>
  <c r="V35" i="4"/>
  <c r="V32" i="4"/>
  <c r="V34" i="4"/>
  <c r="N68" i="12"/>
  <c r="F50" i="9"/>
  <c r="J45" i="9"/>
  <c r="Q82" i="9" s="1"/>
  <c r="J49" i="9"/>
  <c r="M82" i="9" s="1"/>
  <c r="P150" i="15"/>
  <c r="U35" i="11"/>
  <c r="U32" i="11"/>
  <c r="U33" i="11"/>
  <c r="U38" i="11"/>
  <c r="U39" i="11"/>
  <c r="U34" i="11"/>
  <c r="P90" i="13"/>
  <c r="P86" i="13"/>
  <c r="P89" i="13"/>
  <c r="P93" i="13"/>
  <c r="P91" i="13"/>
  <c r="V18" i="11"/>
  <c r="AF19" i="13"/>
  <c r="Q24" i="11"/>
  <c r="P442" i="13"/>
  <c r="O215" i="13"/>
  <c r="Y24" i="13"/>
  <c r="Y20" i="13"/>
  <c r="J42" i="9"/>
  <c r="T82" i="9" s="1"/>
  <c r="B50" i="9"/>
  <c r="J43" i="9"/>
  <c r="S82" i="9" s="1"/>
  <c r="Z19" i="11"/>
  <c r="N99" i="15"/>
  <c r="P98" i="15"/>
  <c r="Z17" i="11"/>
  <c r="Z18" i="11"/>
  <c r="Z20" i="11"/>
  <c r="Z24" i="11"/>
  <c r="Z23" i="11"/>
  <c r="Z21" i="11"/>
  <c r="Z22" i="11"/>
  <c r="C50" i="11"/>
  <c r="C44" i="11"/>
  <c r="C51" i="11"/>
  <c r="C48" i="11"/>
  <c r="C46" i="11"/>
  <c r="C52" i="11"/>
  <c r="C45" i="11"/>
  <c r="C47" i="11"/>
  <c r="C49" i="11"/>
  <c r="N107" i="13"/>
  <c r="O386" i="13"/>
  <c r="O442" i="13"/>
  <c r="N182" i="15"/>
  <c r="P181" i="15"/>
  <c r="AF24" i="11"/>
  <c r="S33" i="4"/>
  <c r="S35" i="4"/>
  <c r="S39" i="4"/>
  <c r="S32" i="4"/>
  <c r="S38" i="4"/>
  <c r="S34" i="4"/>
  <c r="P153" i="15"/>
  <c r="N154" i="15"/>
  <c r="G76" i="9"/>
  <c r="O210" i="13"/>
  <c r="O41" i="13"/>
  <c r="O211" i="13"/>
  <c r="C50" i="13"/>
  <c r="O32" i="13"/>
  <c r="O34" i="13"/>
  <c r="P34" i="13" s="1"/>
  <c r="O143" i="13"/>
  <c r="O479" i="13" s="1"/>
  <c r="O203" i="13"/>
  <c r="O147" i="13"/>
  <c r="O483" i="13" s="1"/>
  <c r="O92" i="13"/>
  <c r="O204" i="13"/>
  <c r="O149" i="13"/>
  <c r="O485" i="13" s="1"/>
  <c r="J74" i="9"/>
  <c r="N84" i="9" s="1"/>
  <c r="AF24" i="13"/>
  <c r="Y23" i="13"/>
  <c r="Y18" i="13"/>
  <c r="C55" i="11"/>
  <c r="C56" i="11"/>
  <c r="C59" i="11"/>
  <c r="C61" i="11"/>
  <c r="C60" i="11"/>
  <c r="C57" i="11"/>
  <c r="J48" i="9"/>
  <c r="N82" i="9" s="1"/>
  <c r="N96" i="13"/>
  <c r="AF20" i="11"/>
  <c r="AF17" i="11"/>
  <c r="AF21" i="11"/>
  <c r="N40" i="12"/>
  <c r="N41" i="12" s="1"/>
  <c r="N42" i="12" s="1"/>
  <c r="AF23" i="11"/>
  <c r="AF18" i="11"/>
  <c r="AF22" i="11"/>
  <c r="E50" i="9"/>
  <c r="J46" i="9"/>
  <c r="P82" i="9" s="1"/>
  <c r="C50" i="9"/>
  <c r="J47" i="9"/>
  <c r="O82" i="9" s="1"/>
  <c r="N109" i="15"/>
  <c r="P108" i="15"/>
  <c r="N126" i="15"/>
  <c r="P125" i="15"/>
  <c r="I47" i="11"/>
  <c r="I52" i="11"/>
  <c r="I45" i="11"/>
  <c r="I49" i="11"/>
  <c r="I46" i="11"/>
  <c r="I50" i="11"/>
  <c r="I48" i="11"/>
  <c r="I44" i="11"/>
  <c r="I51" i="11"/>
  <c r="C58" i="11"/>
  <c r="C76" i="9"/>
  <c r="U24" i="13"/>
  <c r="P40" i="13"/>
  <c r="P30" i="13"/>
  <c r="V23" i="13"/>
  <c r="V18" i="13"/>
  <c r="B76" i="9"/>
  <c r="G63" i="9"/>
  <c r="D76" i="9"/>
  <c r="S24" i="9"/>
  <c r="I76" i="9"/>
  <c r="I24" i="9"/>
  <c r="V19" i="13"/>
  <c r="E76" i="9"/>
  <c r="S24" i="13"/>
  <c r="J6" i="10"/>
  <c r="C12" i="10"/>
  <c r="T24" i="13"/>
  <c r="S37" i="9"/>
  <c r="D12" i="10"/>
  <c r="U81" i="9"/>
  <c r="J21" i="9"/>
  <c r="F76" i="9"/>
  <c r="Q24" i="13"/>
  <c r="V22" i="13"/>
  <c r="J22" i="9"/>
  <c r="V21" i="13"/>
  <c r="O53" i="15"/>
  <c r="O109" i="15" s="1"/>
  <c r="P52" i="15"/>
  <c r="P45" i="15"/>
  <c r="O70" i="15"/>
  <c r="O126" i="15" s="1"/>
  <c r="P69" i="15"/>
  <c r="AE23" i="13"/>
  <c r="AG23" i="13" s="1"/>
  <c r="F12" i="10"/>
  <c r="G12" i="10"/>
  <c r="O24" i="9"/>
  <c r="J3" i="9"/>
  <c r="B11" i="9"/>
  <c r="J11" i="9" s="1"/>
  <c r="U36" i="9"/>
  <c r="J17" i="9"/>
  <c r="O37" i="9"/>
  <c r="U31" i="9"/>
  <c r="J18" i="9"/>
  <c r="B63" i="9"/>
  <c r="J55" i="9"/>
  <c r="T83" i="9" s="1"/>
  <c r="C41" i="1"/>
  <c r="C44" i="1"/>
  <c r="C40" i="1"/>
  <c r="C42" i="1"/>
  <c r="C43" i="1"/>
  <c r="T24" i="9"/>
  <c r="N443" i="13"/>
  <c r="O275" i="13"/>
  <c r="N52" i="13"/>
  <c r="J58" i="9"/>
  <c r="Q83" i="9" s="1"/>
  <c r="D63" i="9"/>
  <c r="C43" i="8"/>
  <c r="C40" i="8"/>
  <c r="C42" i="8"/>
  <c r="C44" i="8"/>
  <c r="C41" i="8"/>
  <c r="J16" i="9"/>
  <c r="B24" i="9"/>
  <c r="U30" i="9"/>
  <c r="AA32" i="12"/>
  <c r="Y33" i="12"/>
  <c r="AE24" i="13"/>
  <c r="AG24" i="13" s="1"/>
  <c r="O101" i="13"/>
  <c r="O156" i="13"/>
  <c r="O492" i="13" s="1"/>
  <c r="O157" i="13"/>
  <c r="O493" i="13" s="1"/>
  <c r="C46" i="13"/>
  <c r="P31" i="13"/>
  <c r="J61" i="9"/>
  <c r="N83" i="9" s="1"/>
  <c r="Z22" i="13"/>
  <c r="AA22" i="13" s="1"/>
  <c r="Z21" i="13"/>
  <c r="Z17" i="13"/>
  <c r="AA17" i="13" s="1"/>
  <c r="Z24" i="13"/>
  <c r="AA24" i="13" s="1"/>
  <c r="Z20" i="13"/>
  <c r="AA20" i="13" s="1"/>
  <c r="Z19" i="13"/>
  <c r="Z18" i="13"/>
  <c r="Z23" i="13"/>
  <c r="AA23" i="13" s="1"/>
  <c r="AJ51" i="12"/>
  <c r="AL50" i="12"/>
  <c r="U34" i="9"/>
  <c r="E24" i="9"/>
  <c r="J57" i="9"/>
  <c r="R83" i="9" s="1"/>
  <c r="J37" i="9"/>
  <c r="D24" i="9"/>
  <c r="C41" i="3"/>
  <c r="C42" i="3"/>
  <c r="C43" i="3"/>
  <c r="C40" i="3"/>
  <c r="C44" i="3"/>
  <c r="V17" i="12"/>
  <c r="N162" i="13"/>
  <c r="P162" i="13" s="1"/>
  <c r="O51" i="12"/>
  <c r="P50" i="12"/>
  <c r="AK40" i="12"/>
  <c r="AL40" i="12" s="1"/>
  <c r="V24" i="11"/>
  <c r="J62" i="9"/>
  <c r="M83" i="9" s="1"/>
  <c r="C57" i="12"/>
  <c r="C61" i="12"/>
  <c r="C58" i="12"/>
  <c r="C55" i="12"/>
  <c r="C56" i="12"/>
  <c r="C60" i="12"/>
  <c r="C59" i="12"/>
  <c r="O24" i="12"/>
  <c r="O256" i="13"/>
  <c r="N424" i="13"/>
  <c r="N425" i="13"/>
  <c r="O257" i="13"/>
  <c r="H63" i="9"/>
  <c r="J24" i="8"/>
  <c r="J24" i="1"/>
  <c r="AE17" i="13"/>
  <c r="AG17" i="13" s="1"/>
  <c r="R24" i="13"/>
  <c r="O97" i="13"/>
  <c r="O45" i="13"/>
  <c r="O47" i="13"/>
  <c r="C52" i="13"/>
  <c r="P32" i="13"/>
  <c r="G24" i="9"/>
  <c r="J8" i="10"/>
  <c r="J56" i="9"/>
  <c r="S83" i="9" s="1"/>
  <c r="AF18" i="13"/>
  <c r="U32" i="9"/>
  <c r="U23" i="9"/>
  <c r="N218" i="13"/>
  <c r="AK51" i="12"/>
  <c r="N274" i="13"/>
  <c r="J19" i="9"/>
  <c r="Z24" i="12"/>
  <c r="Z22" i="12"/>
  <c r="Z23" i="12"/>
  <c r="Z17" i="12"/>
  <c r="Z21" i="12"/>
  <c r="Z19" i="12"/>
  <c r="Z18" i="12"/>
  <c r="Z20" i="12"/>
  <c r="Q37" i="9"/>
  <c r="U18" i="9"/>
  <c r="O260" i="13"/>
  <c r="N428" i="13"/>
  <c r="N429" i="13"/>
  <c r="O261" i="13"/>
  <c r="U29" i="9"/>
  <c r="M37" i="9"/>
  <c r="M24" i="9"/>
  <c r="U16" i="9"/>
  <c r="AE18" i="13"/>
  <c r="AG18" i="13" s="1"/>
  <c r="AA18" i="13"/>
  <c r="Y41" i="12"/>
  <c r="U19" i="9"/>
  <c r="V23" i="12"/>
  <c r="C63" i="9"/>
  <c r="O24" i="13"/>
  <c r="C47" i="13"/>
  <c r="J11" i="10"/>
  <c r="I12" i="10"/>
  <c r="J10" i="10"/>
  <c r="P24" i="9"/>
  <c r="J71" i="9"/>
  <c r="Q84" i="9" s="1"/>
  <c r="U84" i="9" s="1"/>
  <c r="H24" i="9"/>
  <c r="R37" i="9"/>
  <c r="J20" i="9"/>
  <c r="AF21" i="13"/>
  <c r="U33" i="9"/>
  <c r="AF22" i="12"/>
  <c r="AF19" i="12"/>
  <c r="AF17" i="12"/>
  <c r="AF24" i="12"/>
  <c r="AF20" i="12"/>
  <c r="AF21" i="12"/>
  <c r="AF18" i="12"/>
  <c r="AF23" i="12"/>
  <c r="O41" i="12"/>
  <c r="O40" i="12"/>
  <c r="O46" i="12"/>
  <c r="N158" i="13" s="1"/>
  <c r="P158" i="13" s="1"/>
  <c r="O44" i="12"/>
  <c r="N156" i="13" s="1"/>
  <c r="O45" i="12"/>
  <c r="N157" i="13" s="1"/>
  <c r="O47" i="12"/>
  <c r="N159" i="13" s="1"/>
  <c r="O43" i="12"/>
  <c r="N155" i="13" s="1"/>
  <c r="O42" i="12"/>
  <c r="N154" i="13" s="1"/>
  <c r="P154" i="13" s="1"/>
  <c r="F63" i="9"/>
  <c r="C24" i="9"/>
  <c r="J59" i="9"/>
  <c r="P83" i="9" s="1"/>
  <c r="AA21" i="13"/>
  <c r="AE21" i="13"/>
  <c r="O102" i="13"/>
  <c r="O214" i="13"/>
  <c r="O213" i="13"/>
  <c r="O42" i="13"/>
  <c r="C49" i="13"/>
  <c r="O148" i="13"/>
  <c r="O484" i="13" s="1"/>
  <c r="F24" i="9"/>
  <c r="AJ68" i="12"/>
  <c r="AL67" i="12"/>
  <c r="T37" i="9"/>
  <c r="AJ41" i="12"/>
  <c r="AJ42" i="12" s="1"/>
  <c r="AJ43" i="12" s="1"/>
  <c r="Y69" i="12"/>
  <c r="AA68" i="12"/>
  <c r="P37" i="9"/>
  <c r="J50" i="2"/>
  <c r="K50" i="2"/>
  <c r="J60" i="9"/>
  <c r="O83" i="9" s="1"/>
  <c r="AF22" i="13"/>
  <c r="J9" i="10"/>
  <c r="N24" i="12"/>
  <c r="V16" i="12"/>
  <c r="V19" i="12"/>
  <c r="AK31" i="12"/>
  <c r="AK32" i="12"/>
  <c r="AK30" i="12"/>
  <c r="J24" i="3"/>
  <c r="Q24" i="12"/>
  <c r="U22" i="9"/>
  <c r="O254" i="13"/>
  <c r="N422" i="13"/>
  <c r="N179" i="13"/>
  <c r="P179" i="13" s="1"/>
  <c r="O68" i="12"/>
  <c r="P67" i="12"/>
  <c r="V20" i="12"/>
  <c r="I49" i="12"/>
  <c r="I45" i="12"/>
  <c r="I51" i="12"/>
  <c r="I44" i="12"/>
  <c r="I46" i="12"/>
  <c r="I50" i="12"/>
  <c r="I47" i="12"/>
  <c r="I52" i="12"/>
  <c r="I48" i="12"/>
  <c r="AE22" i="13"/>
  <c r="U35" i="9"/>
  <c r="J7" i="10"/>
  <c r="N423" i="13"/>
  <c r="O255" i="13"/>
  <c r="AA19" i="13"/>
  <c r="AE19" i="13"/>
  <c r="AG19" i="13" s="1"/>
  <c r="R24" i="9"/>
  <c r="C40" i="2"/>
  <c r="C41" i="2"/>
  <c r="C43" i="2"/>
  <c r="C44" i="2"/>
  <c r="C42" i="2"/>
  <c r="Y50" i="2"/>
  <c r="Z50" i="2"/>
  <c r="S24" i="12"/>
  <c r="R24" i="12"/>
  <c r="E63" i="9"/>
  <c r="N37" i="9"/>
  <c r="U21" i="9"/>
  <c r="N24" i="9"/>
  <c r="AE20" i="13"/>
  <c r="AG20" i="13" s="1"/>
  <c r="O44" i="13"/>
  <c r="C51" i="13"/>
  <c r="J23" i="9"/>
  <c r="Y52" i="12"/>
  <c r="AA51" i="12"/>
  <c r="U20" i="9"/>
  <c r="Q24" i="9"/>
  <c r="J4" i="10"/>
  <c r="B12" i="10"/>
  <c r="O259" i="13"/>
  <c r="N427" i="13"/>
  <c r="U24" i="12"/>
  <c r="O153" i="13"/>
  <c r="O489" i="13" s="1"/>
  <c r="O43" i="13"/>
  <c r="O46" i="13"/>
  <c r="O159" i="13"/>
  <c r="O495" i="13" s="1"/>
  <c r="J24" i="13"/>
  <c r="H12" i="10"/>
  <c r="V22" i="12"/>
  <c r="AJ31" i="12"/>
  <c r="AJ32" i="12"/>
  <c r="AJ30" i="12"/>
  <c r="J24" i="2"/>
  <c r="U17" i="9"/>
  <c r="E12" i="10"/>
  <c r="N41" i="13"/>
  <c r="P41" i="13" s="1"/>
  <c r="O264" i="13"/>
  <c r="N432" i="13"/>
  <c r="V21" i="12"/>
  <c r="J5" i="10"/>
  <c r="N235" i="13"/>
  <c r="AK68" i="12"/>
  <c r="N291" i="13"/>
  <c r="Y20" i="12"/>
  <c r="Y22" i="12"/>
  <c r="Y19" i="12"/>
  <c r="Y18" i="12"/>
  <c r="Y17" i="12"/>
  <c r="Y24" i="12"/>
  <c r="Y21" i="12"/>
  <c r="Y23" i="12"/>
  <c r="O30" i="12"/>
  <c r="O35" i="12"/>
  <c r="O33" i="12"/>
  <c r="O37" i="12"/>
  <c r="O34" i="12"/>
  <c r="O31" i="12"/>
  <c r="O32" i="12"/>
  <c r="J24" i="12"/>
  <c r="O36" i="12"/>
  <c r="N460" i="13"/>
  <c r="O292" i="13"/>
  <c r="N69" i="13"/>
  <c r="P24" i="12"/>
  <c r="C49" i="12"/>
  <c r="C44" i="12"/>
  <c r="C47" i="12"/>
  <c r="C50" i="12"/>
  <c r="C51" i="12"/>
  <c r="C48" i="12"/>
  <c r="C46" i="12"/>
  <c r="C52" i="12"/>
  <c r="C45" i="12"/>
  <c r="O367" i="13"/>
  <c r="O423" i="13"/>
  <c r="N759" i="13" s="1"/>
  <c r="P759" i="13" s="1"/>
  <c r="P766" i="13" s="1"/>
  <c r="N426" i="13"/>
  <c r="O258" i="13"/>
  <c r="T24" i="12"/>
  <c r="I63" i="9"/>
  <c r="N55" i="12"/>
  <c r="O218" i="13"/>
  <c r="P218" i="13" s="1"/>
  <c r="P106" i="13"/>
  <c r="O69" i="13"/>
  <c r="O124" i="13"/>
  <c r="P68" i="13"/>
  <c r="O180" i="13"/>
  <c r="O516" i="13" s="1"/>
  <c r="O235" i="13"/>
  <c r="P123" i="13"/>
  <c r="O107" i="13"/>
  <c r="O163" i="13"/>
  <c r="O499" i="13" s="1"/>
  <c r="O52" i="13"/>
  <c r="P51" i="13"/>
  <c r="N187" i="23" l="1"/>
  <c r="Z75" i="21"/>
  <c r="AA75" i="21" s="1"/>
  <c r="O60" i="21"/>
  <c r="N171" i="23"/>
  <c r="Z59" i="21"/>
  <c r="AA59" i="21" s="1"/>
  <c r="AK61" i="21"/>
  <c r="N62" i="21"/>
  <c r="AK77" i="21"/>
  <c r="AL77" i="21" s="1"/>
  <c r="AY77" i="21"/>
  <c r="N78" i="21"/>
  <c r="P59" i="21"/>
  <c r="P689" i="23"/>
  <c r="AY60" i="21"/>
  <c r="AJ60" i="21"/>
  <c r="AL60" i="21" s="1"/>
  <c r="Y61" i="21"/>
  <c r="O674" i="23"/>
  <c r="O730" i="23"/>
  <c r="O338" i="23"/>
  <c r="P338" i="23" s="1"/>
  <c r="O562" i="23"/>
  <c r="AJ78" i="21"/>
  <c r="Y79" i="21"/>
  <c r="O354" i="23"/>
  <c r="P354" i="23" s="1"/>
  <c r="O690" i="23"/>
  <c r="O578" i="23"/>
  <c r="O746" i="23"/>
  <c r="O800" i="23"/>
  <c r="P800" i="23" s="1"/>
  <c r="P632" i="23"/>
  <c r="N727" i="23"/>
  <c r="P727" i="23" s="1"/>
  <c r="P559" i="23"/>
  <c r="N638" i="23"/>
  <c r="N470" i="23"/>
  <c r="N526" i="23"/>
  <c r="O302" i="23"/>
  <c r="P302" i="23" s="1"/>
  <c r="O633" i="23"/>
  <c r="O521" i="23"/>
  <c r="P521" i="23" s="1"/>
  <c r="P185" i="23"/>
  <c r="N577" i="23"/>
  <c r="O113" i="23"/>
  <c r="O169" i="23"/>
  <c r="O58" i="23"/>
  <c r="P57" i="23"/>
  <c r="N673" i="23"/>
  <c r="P673" i="23" s="1"/>
  <c r="O224" i="23"/>
  <c r="P224" i="23" s="1"/>
  <c r="P112" i="23"/>
  <c r="N744" i="23"/>
  <c r="P744" i="23" s="1"/>
  <c r="P576" i="23"/>
  <c r="N508" i="23"/>
  <c r="N452" i="23"/>
  <c r="O284" i="23"/>
  <c r="P284" i="23" s="1"/>
  <c r="N805" i="23"/>
  <c r="P469" i="23"/>
  <c r="O130" i="23"/>
  <c r="O186" i="23"/>
  <c r="O75" i="23"/>
  <c r="P74" i="23"/>
  <c r="N690" i="23"/>
  <c r="P690" i="23" s="1"/>
  <c r="O616" i="23"/>
  <c r="O504" i="23"/>
  <c r="P504" i="23" s="1"/>
  <c r="P168" i="23"/>
  <c r="N560" i="23"/>
  <c r="N787" i="23"/>
  <c r="P451" i="23"/>
  <c r="O396" i="23"/>
  <c r="P396" i="23" s="1"/>
  <c r="O452" i="23"/>
  <c r="N620" i="23" s="1"/>
  <c r="O783" i="23"/>
  <c r="P783" i="23" s="1"/>
  <c r="P615" i="23"/>
  <c r="O241" i="23"/>
  <c r="P241" i="23" s="1"/>
  <c r="P129" i="23"/>
  <c r="P60" i="21"/>
  <c r="O76" i="21"/>
  <c r="P75" i="21"/>
  <c r="P42" i="12"/>
  <c r="N43" i="12"/>
  <c r="N97" i="13"/>
  <c r="O376" i="13"/>
  <c r="O432" i="13"/>
  <c r="N183" i="15"/>
  <c r="P182" i="15"/>
  <c r="U82" i="9"/>
  <c r="O403" i="13"/>
  <c r="O459" i="13"/>
  <c r="N683" i="13" s="1"/>
  <c r="AA20" i="11"/>
  <c r="AE20" i="11"/>
  <c r="AG20" i="11" s="1"/>
  <c r="AE22" i="11"/>
  <c r="AG22" i="11" s="1"/>
  <c r="AA22" i="11"/>
  <c r="AE19" i="11"/>
  <c r="AG19" i="11" s="1"/>
  <c r="AA19" i="11"/>
  <c r="O369" i="13"/>
  <c r="O425" i="13"/>
  <c r="P425" i="13" s="1"/>
  <c r="P432" i="13"/>
  <c r="P97" i="13"/>
  <c r="N127" i="15"/>
  <c r="P126" i="15"/>
  <c r="J50" i="9"/>
  <c r="P96" i="13"/>
  <c r="P165" i="15"/>
  <c r="N166" i="15"/>
  <c r="AA17" i="11"/>
  <c r="AE17" i="11"/>
  <c r="AG17" i="11" s="1"/>
  <c r="AA21" i="11"/>
  <c r="AE21" i="11"/>
  <c r="AG21" i="11" s="1"/>
  <c r="AA24" i="11"/>
  <c r="AE24" i="11"/>
  <c r="AG24" i="11" s="1"/>
  <c r="P154" i="15"/>
  <c r="N155" i="15"/>
  <c r="N100" i="15"/>
  <c r="P99" i="15"/>
  <c r="O428" i="13"/>
  <c r="P428" i="13" s="1"/>
  <c r="O372" i="13"/>
  <c r="O424" i="13"/>
  <c r="O368" i="13"/>
  <c r="AA23" i="11"/>
  <c r="AE23" i="11"/>
  <c r="AG23" i="11" s="1"/>
  <c r="P235" i="13"/>
  <c r="V24" i="13"/>
  <c r="P424" i="13"/>
  <c r="N110" i="15"/>
  <c r="P109" i="15"/>
  <c r="P92" i="13"/>
  <c r="O387" i="13"/>
  <c r="N108" i="13"/>
  <c r="O443" i="13"/>
  <c r="P443" i="13" s="1"/>
  <c r="N69" i="12"/>
  <c r="O429" i="13"/>
  <c r="P429" i="13" s="1"/>
  <c r="O373" i="13"/>
  <c r="AA18" i="11"/>
  <c r="AE18" i="11"/>
  <c r="AG18" i="11" s="1"/>
  <c r="O422" i="13"/>
  <c r="P422" i="13" s="1"/>
  <c r="O366" i="13"/>
  <c r="O426" i="13"/>
  <c r="P426" i="13" s="1"/>
  <c r="O370" i="13"/>
  <c r="O427" i="13"/>
  <c r="P427" i="13" s="1"/>
  <c r="O371" i="13"/>
  <c r="P88" i="13"/>
  <c r="P94" i="13" s="1"/>
  <c r="J76" i="9"/>
  <c r="N515" i="13"/>
  <c r="P515" i="13" s="1"/>
  <c r="N627" i="13"/>
  <c r="N571" i="13"/>
  <c r="O323" i="13"/>
  <c r="O603" i="13" s="1"/>
  <c r="O715" i="13"/>
  <c r="O659" i="13"/>
  <c r="O325" i="13"/>
  <c r="O605" i="13" s="1"/>
  <c r="O717" i="13"/>
  <c r="O661" i="13"/>
  <c r="O326" i="13"/>
  <c r="O606" i="13" s="1"/>
  <c r="O718" i="13"/>
  <c r="O662" i="13"/>
  <c r="N554" i="13"/>
  <c r="N722" i="13" s="1"/>
  <c r="N610" i="13"/>
  <c r="N666" i="13"/>
  <c r="N498" i="13"/>
  <c r="P498" i="13" s="1"/>
  <c r="AL31" i="12"/>
  <c r="P423" i="13"/>
  <c r="P156" i="13"/>
  <c r="O347" i="13"/>
  <c r="O627" i="13" s="1"/>
  <c r="O739" i="13"/>
  <c r="O683" i="13"/>
  <c r="O571" i="13"/>
  <c r="O322" i="13"/>
  <c r="O602" i="13" s="1"/>
  <c r="O714" i="13"/>
  <c r="O658" i="13"/>
  <c r="O327" i="13"/>
  <c r="O607" i="13" s="1"/>
  <c r="O719" i="13"/>
  <c r="O663" i="13"/>
  <c r="O324" i="13"/>
  <c r="O604" i="13" s="1"/>
  <c r="O716" i="13"/>
  <c r="O660" i="13"/>
  <c r="O330" i="13"/>
  <c r="O610" i="13" s="1"/>
  <c r="O722" i="13"/>
  <c r="O666" i="13"/>
  <c r="O554" i="13"/>
  <c r="P38" i="13"/>
  <c r="P157" i="13"/>
  <c r="O71" i="15"/>
  <c r="O127" i="15" s="1"/>
  <c r="P70" i="15"/>
  <c r="O54" i="15"/>
  <c r="O110" i="15" s="1"/>
  <c r="P53" i="15"/>
  <c r="P47" i="15"/>
  <c r="P46" i="15"/>
  <c r="AA25" i="13"/>
  <c r="N70" i="13"/>
  <c r="N461" i="13"/>
  <c r="O293" i="13"/>
  <c r="AA17" i="12"/>
  <c r="AE17" i="12"/>
  <c r="AG17" i="12" s="1"/>
  <c r="AJ52" i="12"/>
  <c r="AJ53" i="12" s="1"/>
  <c r="AJ54" i="12" s="1"/>
  <c r="AJ55" i="12" s="1"/>
  <c r="AJ56" i="12" s="1"/>
  <c r="AL51" i="12"/>
  <c r="N149" i="13"/>
  <c r="P37" i="12"/>
  <c r="AE23" i="12"/>
  <c r="AG23" i="12" s="1"/>
  <c r="AA23" i="12"/>
  <c r="P291" i="13"/>
  <c r="N347" i="13"/>
  <c r="AJ33" i="12"/>
  <c r="AL32" i="12"/>
  <c r="P159" i="13"/>
  <c r="Y53" i="12"/>
  <c r="AA52" i="12"/>
  <c r="N198" i="13"/>
  <c r="N254" i="13"/>
  <c r="AJ69" i="12"/>
  <c r="AL68" i="12"/>
  <c r="N152" i="13"/>
  <c r="P40" i="12"/>
  <c r="U37" i="9"/>
  <c r="J24" i="9"/>
  <c r="N144" i="13"/>
  <c r="P32" i="12"/>
  <c r="AA21" i="12"/>
  <c r="AE21" i="12"/>
  <c r="AG21" i="12" s="1"/>
  <c r="N292" i="13"/>
  <c r="N236" i="13"/>
  <c r="AK69" i="12"/>
  <c r="N433" i="13"/>
  <c r="O265" i="13"/>
  <c r="N42" i="13"/>
  <c r="AK33" i="12"/>
  <c r="N256" i="13"/>
  <c r="N200" i="13"/>
  <c r="N153" i="13"/>
  <c r="P41" i="12"/>
  <c r="N163" i="13"/>
  <c r="O52" i="12"/>
  <c r="P51" i="12"/>
  <c r="N143" i="13"/>
  <c r="P31" i="12"/>
  <c r="AA24" i="12"/>
  <c r="AE24" i="12"/>
  <c r="AG24" i="12" s="1"/>
  <c r="AG22" i="13"/>
  <c r="AG25" i="13" s="1"/>
  <c r="N255" i="13"/>
  <c r="N199" i="13"/>
  <c r="AG21" i="13"/>
  <c r="U83" i="9"/>
  <c r="N444" i="13"/>
  <c r="O276" i="13"/>
  <c r="N53" i="13"/>
  <c r="N146" i="13"/>
  <c r="P34" i="12"/>
  <c r="AA41" i="12"/>
  <c r="Y42" i="12"/>
  <c r="AJ44" i="12"/>
  <c r="AA18" i="12"/>
  <c r="AE18" i="12"/>
  <c r="AG18" i="12" s="1"/>
  <c r="AA33" i="12"/>
  <c r="Y34" i="12"/>
  <c r="AA19" i="12"/>
  <c r="AE19" i="12"/>
  <c r="AG19" i="12" s="1"/>
  <c r="J12" i="10"/>
  <c r="P155" i="13"/>
  <c r="N147" i="13"/>
  <c r="P35" i="12"/>
  <c r="AA22" i="12"/>
  <c r="AE22" i="12"/>
  <c r="AG22" i="12" s="1"/>
  <c r="P43" i="12"/>
  <c r="N44" i="12"/>
  <c r="V24" i="12"/>
  <c r="P42" i="13"/>
  <c r="AK52" i="12"/>
  <c r="N219" i="13"/>
  <c r="N275" i="13"/>
  <c r="AK41" i="12"/>
  <c r="N264" i="13"/>
  <c r="N208" i="13"/>
  <c r="J63" i="9"/>
  <c r="N145" i="13"/>
  <c r="P33" i="12"/>
  <c r="N330" i="13"/>
  <c r="P274" i="13"/>
  <c r="N148" i="13"/>
  <c r="P36" i="12"/>
  <c r="N142" i="13"/>
  <c r="P30" i="12"/>
  <c r="AA20" i="12"/>
  <c r="AE20" i="12"/>
  <c r="AG20" i="12" s="1"/>
  <c r="AL30" i="12"/>
  <c r="N180" i="13"/>
  <c r="O69" i="12"/>
  <c r="P68" i="12"/>
  <c r="Y70" i="12"/>
  <c r="AA69" i="12"/>
  <c r="U24" i="9"/>
  <c r="N56" i="12"/>
  <c r="O108" i="13"/>
  <c r="O53" i="13"/>
  <c r="P52" i="13"/>
  <c r="O164" i="13"/>
  <c r="O500" i="13" s="1"/>
  <c r="P107" i="13"/>
  <c r="O219" i="13"/>
  <c r="P69" i="13"/>
  <c r="O125" i="13"/>
  <c r="O70" i="13"/>
  <c r="O181" i="13"/>
  <c r="O517" i="13" s="1"/>
  <c r="O236" i="13"/>
  <c r="P124" i="13"/>
  <c r="AK78" i="21" l="1"/>
  <c r="AL78" i="21" s="1"/>
  <c r="N79" i="21"/>
  <c r="AK62" i="21"/>
  <c r="N63" i="21"/>
  <c r="O339" i="23"/>
  <c r="P339" i="23" s="1"/>
  <c r="O731" i="23"/>
  <c r="O675" i="23"/>
  <c r="O563" i="23"/>
  <c r="AJ79" i="21"/>
  <c r="Y80" i="21"/>
  <c r="AY61" i="21"/>
  <c r="AJ61" i="21"/>
  <c r="AL61" i="21" s="1"/>
  <c r="Y62" i="21"/>
  <c r="O61" i="21"/>
  <c r="P61" i="21" s="1"/>
  <c r="Z60" i="21"/>
  <c r="AA60" i="21" s="1"/>
  <c r="N172" i="23"/>
  <c r="AY78" i="21"/>
  <c r="N188" i="23"/>
  <c r="Z76" i="21"/>
  <c r="AA76" i="21" s="1"/>
  <c r="O747" i="23"/>
  <c r="O355" i="23"/>
  <c r="P355" i="23" s="1"/>
  <c r="O691" i="23"/>
  <c r="O579" i="23"/>
  <c r="P459" i="13"/>
  <c r="N795" i="13"/>
  <c r="P795" i="13" s="1"/>
  <c r="O131" i="23"/>
  <c r="O76" i="23"/>
  <c r="O187" i="23"/>
  <c r="P75" i="23"/>
  <c r="N691" i="23"/>
  <c r="O801" i="23"/>
  <c r="P801" i="23" s="1"/>
  <c r="P633" i="23"/>
  <c r="O784" i="23"/>
  <c r="P784" i="23" s="1"/>
  <c r="P616" i="23"/>
  <c r="O397" i="23"/>
  <c r="P397" i="23" s="1"/>
  <c r="O453" i="23"/>
  <c r="N728" i="23"/>
  <c r="P728" i="23" s="1"/>
  <c r="P560" i="23"/>
  <c r="O242" i="23"/>
  <c r="P242" i="23" s="1"/>
  <c r="P130" i="23"/>
  <c r="N509" i="23"/>
  <c r="O285" i="23"/>
  <c r="P285" i="23" s="1"/>
  <c r="N453" i="23"/>
  <c r="O170" i="23"/>
  <c r="O59" i="23"/>
  <c r="O114" i="23"/>
  <c r="N674" i="23"/>
  <c r="P674" i="23" s="1"/>
  <c r="P58" i="23"/>
  <c r="O225" i="23"/>
  <c r="P225" i="23" s="1"/>
  <c r="P113" i="23"/>
  <c r="O634" i="23"/>
  <c r="O522" i="23"/>
  <c r="P522" i="23" s="1"/>
  <c r="P186" i="23"/>
  <c r="N578" i="23"/>
  <c r="N788" i="23"/>
  <c r="P452" i="23"/>
  <c r="N745" i="23"/>
  <c r="P745" i="23" s="1"/>
  <c r="P577" i="23"/>
  <c r="N806" i="23"/>
  <c r="P470" i="23"/>
  <c r="O505" i="23"/>
  <c r="P505" i="23" s="1"/>
  <c r="O617" i="23"/>
  <c r="P169" i="23"/>
  <c r="N561" i="23"/>
  <c r="N527" i="23"/>
  <c r="N639" i="23"/>
  <c r="O303" i="23"/>
  <c r="P303" i="23" s="1"/>
  <c r="N471" i="23"/>
  <c r="O77" i="21"/>
  <c r="P76" i="21"/>
  <c r="P444" i="13"/>
  <c r="P430" i="13"/>
  <c r="O460" i="13"/>
  <c r="O404" i="13"/>
  <c r="N101" i="15"/>
  <c r="P100" i="15"/>
  <c r="N128" i="15"/>
  <c r="P127" i="15"/>
  <c r="N184" i="15"/>
  <c r="P183" i="15"/>
  <c r="P155" i="15"/>
  <c r="N156" i="15"/>
  <c r="AG25" i="11"/>
  <c r="AA25" i="12"/>
  <c r="N109" i="13"/>
  <c r="O388" i="13"/>
  <c r="O444" i="13"/>
  <c r="N111" i="15"/>
  <c r="P110" i="15"/>
  <c r="AA25" i="11"/>
  <c r="P610" i="13"/>
  <c r="N70" i="12"/>
  <c r="N167" i="15"/>
  <c r="P166" i="15"/>
  <c r="O377" i="13"/>
  <c r="O433" i="13"/>
  <c r="P433" i="13" s="1"/>
  <c r="N98" i="13"/>
  <c r="P722" i="13"/>
  <c r="O348" i="13"/>
  <c r="O628" i="13" s="1"/>
  <c r="O740" i="13"/>
  <c r="O684" i="13"/>
  <c r="O572" i="13"/>
  <c r="O646" i="13"/>
  <c r="O702" i="13"/>
  <c r="O534" i="13"/>
  <c r="O316" i="13"/>
  <c r="O596" i="13" s="1"/>
  <c r="O652" i="13"/>
  <c r="O708" i="13"/>
  <c r="O540" i="13"/>
  <c r="O707" i="13"/>
  <c r="O651" i="13"/>
  <c r="O539" i="13"/>
  <c r="O650" i="13"/>
  <c r="O706" i="13"/>
  <c r="O538" i="13"/>
  <c r="P200" i="13"/>
  <c r="N536" i="13"/>
  <c r="N480" i="13"/>
  <c r="P480" i="13" s="1"/>
  <c r="N648" i="13"/>
  <c r="N592" i="13"/>
  <c r="N572" i="13"/>
  <c r="N628" i="13"/>
  <c r="N684" i="13"/>
  <c r="P684" i="13" s="1"/>
  <c r="N516" i="13"/>
  <c r="P516" i="13" s="1"/>
  <c r="O709" i="13"/>
  <c r="O653" i="13"/>
  <c r="O541" i="13"/>
  <c r="P219" i="13"/>
  <c r="P48" i="15"/>
  <c r="P554" i="13"/>
  <c r="P627" i="13"/>
  <c r="P683" i="13"/>
  <c r="O705" i="13"/>
  <c r="O649" i="13"/>
  <c r="O537" i="13"/>
  <c r="P208" i="13"/>
  <c r="N544" i="13"/>
  <c r="N600" i="13"/>
  <c r="N656" i="13"/>
  <c r="N488" i="13"/>
  <c r="P488" i="13" s="1"/>
  <c r="N667" i="13"/>
  <c r="N499" i="13"/>
  <c r="P499" i="13" s="1"/>
  <c r="N611" i="13"/>
  <c r="N555" i="13"/>
  <c r="P199" i="13"/>
  <c r="N479" i="13"/>
  <c r="P479" i="13" s="1"/>
  <c r="N535" i="13"/>
  <c r="N591" i="13"/>
  <c r="N647" i="13"/>
  <c r="O703" i="13"/>
  <c r="O647" i="13"/>
  <c r="O535" i="13"/>
  <c r="O331" i="13"/>
  <c r="O611" i="13" s="1"/>
  <c r="O723" i="13"/>
  <c r="O667" i="13"/>
  <c r="O555" i="13"/>
  <c r="O321" i="13"/>
  <c r="O601" i="13" s="1"/>
  <c r="O713" i="13"/>
  <c r="O657" i="13"/>
  <c r="O545" i="13"/>
  <c r="O648" i="13"/>
  <c r="O704" i="13"/>
  <c r="O536" i="13"/>
  <c r="O712" i="13"/>
  <c r="O656" i="13"/>
  <c r="O544" i="13"/>
  <c r="P198" i="13"/>
  <c r="N534" i="13"/>
  <c r="N478" i="13"/>
  <c r="P478" i="13" s="1"/>
  <c r="N646" i="13"/>
  <c r="N590" i="13"/>
  <c r="N739" i="13"/>
  <c r="P739" i="13" s="1"/>
  <c r="P571" i="13"/>
  <c r="P180" i="13"/>
  <c r="P163" i="13"/>
  <c r="P666" i="13"/>
  <c r="O55" i="15"/>
  <c r="O111" i="15" s="1"/>
  <c r="P54" i="15"/>
  <c r="O72" i="15"/>
  <c r="O128" i="15" s="1"/>
  <c r="P71" i="15"/>
  <c r="O313" i="13"/>
  <c r="O593" i="13" s="1"/>
  <c r="P145" i="13"/>
  <c r="AA42" i="12"/>
  <c r="Y43" i="12"/>
  <c r="N311" i="13"/>
  <c r="P255" i="13"/>
  <c r="AJ34" i="12"/>
  <c r="AL33" i="12"/>
  <c r="P347" i="13"/>
  <c r="N403" i="13"/>
  <c r="P403" i="13" s="1"/>
  <c r="N164" i="13"/>
  <c r="P164" i="13" s="1"/>
  <c r="O53" i="12"/>
  <c r="P52" i="12"/>
  <c r="P256" i="13"/>
  <c r="N312" i="13"/>
  <c r="N348" i="13"/>
  <c r="P292" i="13"/>
  <c r="P254" i="13"/>
  <c r="N310" i="13"/>
  <c r="N386" i="13"/>
  <c r="P386" i="13" s="1"/>
  <c r="P330" i="13"/>
  <c r="N320" i="13"/>
  <c r="P264" i="13"/>
  <c r="P153" i="13"/>
  <c r="AK34" i="12"/>
  <c r="N257" i="13"/>
  <c r="N201" i="13"/>
  <c r="P236" i="13"/>
  <c r="AA70" i="12"/>
  <c r="Y71" i="12"/>
  <c r="N209" i="13"/>
  <c r="N265" i="13"/>
  <c r="AK42" i="12"/>
  <c r="N45" i="12"/>
  <c r="P44" i="12"/>
  <c r="AL41" i="12"/>
  <c r="P38" i="12"/>
  <c r="P275" i="13"/>
  <c r="N331" i="13"/>
  <c r="O314" i="13"/>
  <c r="O594" i="13" s="1"/>
  <c r="P146" i="13"/>
  <c r="N434" i="13"/>
  <c r="O266" i="13"/>
  <c r="N43" i="13"/>
  <c r="O320" i="13"/>
  <c r="O600" i="13" s="1"/>
  <c r="P152" i="13"/>
  <c r="P160" i="13" s="1"/>
  <c r="Y54" i="12"/>
  <c r="AA53" i="12"/>
  <c r="AG25" i="12"/>
  <c r="N181" i="13"/>
  <c r="O70" i="12"/>
  <c r="P69" i="12"/>
  <c r="AA34" i="12"/>
  <c r="Y35" i="12"/>
  <c r="N293" i="13"/>
  <c r="N237" i="13"/>
  <c r="AK70" i="12"/>
  <c r="O315" i="13"/>
  <c r="O595" i="13" s="1"/>
  <c r="P147" i="13"/>
  <c r="N71" i="13"/>
  <c r="N462" i="13"/>
  <c r="O294" i="13"/>
  <c r="P148" i="13"/>
  <c r="O310" i="13"/>
  <c r="O590" i="13" s="1"/>
  <c r="P142" i="13"/>
  <c r="AJ45" i="12"/>
  <c r="O277" i="13"/>
  <c r="N445" i="13"/>
  <c r="N54" i="13"/>
  <c r="O311" i="13"/>
  <c r="O591" i="13" s="1"/>
  <c r="P591" i="13" s="1"/>
  <c r="P143" i="13"/>
  <c r="O312" i="13"/>
  <c r="O592" i="13" s="1"/>
  <c r="P144" i="13"/>
  <c r="O317" i="13"/>
  <c r="O597" i="13" s="1"/>
  <c r="P149" i="13"/>
  <c r="AL52" i="12"/>
  <c r="N276" i="13"/>
  <c r="N220" i="13"/>
  <c r="AK53" i="12"/>
  <c r="AJ70" i="12"/>
  <c r="AL69" i="12"/>
  <c r="AJ57" i="12"/>
  <c r="N57" i="12"/>
  <c r="O109" i="13"/>
  <c r="P53" i="13"/>
  <c r="O165" i="13"/>
  <c r="O501" i="13" s="1"/>
  <c r="O54" i="13"/>
  <c r="O182" i="13"/>
  <c r="O518" i="13" s="1"/>
  <c r="O126" i="13"/>
  <c r="P70" i="13"/>
  <c r="O71" i="13"/>
  <c r="P108" i="13"/>
  <c r="O220" i="13"/>
  <c r="O237" i="13"/>
  <c r="P125" i="13"/>
  <c r="O692" i="23" l="1"/>
  <c r="O356" i="23"/>
  <c r="P356" i="23" s="1"/>
  <c r="O580" i="23"/>
  <c r="O748" i="23"/>
  <c r="O62" i="21"/>
  <c r="N173" i="23"/>
  <c r="Z61" i="21"/>
  <c r="AA61" i="21" s="1"/>
  <c r="AK63" i="21"/>
  <c r="N64" i="21"/>
  <c r="P691" i="23"/>
  <c r="AJ80" i="21"/>
  <c r="Y81" i="21"/>
  <c r="N189" i="23"/>
  <c r="Z77" i="21"/>
  <c r="AA77" i="21" s="1"/>
  <c r="O732" i="23"/>
  <c r="O676" i="23"/>
  <c r="O340" i="23"/>
  <c r="P340" i="23" s="1"/>
  <c r="O564" i="23"/>
  <c r="AJ62" i="21"/>
  <c r="AL62" i="21" s="1"/>
  <c r="AY62" i="21"/>
  <c r="Y63" i="21"/>
  <c r="AY79" i="21"/>
  <c r="AK79" i="21"/>
  <c r="AL79" i="21" s="1"/>
  <c r="N80" i="21"/>
  <c r="P460" i="13"/>
  <c r="N796" i="13"/>
  <c r="P796" i="13" s="1"/>
  <c r="N807" i="23"/>
  <c r="P471" i="23"/>
  <c r="O802" i="23"/>
  <c r="P802" i="23" s="1"/>
  <c r="P634" i="23"/>
  <c r="N789" i="23"/>
  <c r="P453" i="23"/>
  <c r="O635" i="23"/>
  <c r="O523" i="23"/>
  <c r="P523" i="23" s="1"/>
  <c r="P187" i="23"/>
  <c r="N579" i="23"/>
  <c r="O785" i="23"/>
  <c r="P785" i="23" s="1"/>
  <c r="P617" i="23"/>
  <c r="N746" i="23"/>
  <c r="P746" i="23" s="1"/>
  <c r="P578" i="23"/>
  <c r="O226" i="23"/>
  <c r="P226" i="23" s="1"/>
  <c r="P114" i="23"/>
  <c r="N454" i="23"/>
  <c r="O286" i="23"/>
  <c r="P286" i="23" s="1"/>
  <c r="N510" i="23"/>
  <c r="O77" i="23"/>
  <c r="O188" i="23"/>
  <c r="O132" i="23"/>
  <c r="P76" i="23"/>
  <c r="N692" i="23"/>
  <c r="P692" i="23" s="1"/>
  <c r="O115" i="23"/>
  <c r="O171" i="23"/>
  <c r="O60" i="23"/>
  <c r="P59" i="23"/>
  <c r="N675" i="23"/>
  <c r="P675" i="23" s="1"/>
  <c r="N621" i="23"/>
  <c r="O454" i="23"/>
  <c r="N622" i="23" s="1"/>
  <c r="O398" i="23"/>
  <c r="P398" i="23" s="1"/>
  <c r="O243" i="23"/>
  <c r="P243" i="23" s="1"/>
  <c r="P131" i="23"/>
  <c r="N640" i="23"/>
  <c r="N528" i="23"/>
  <c r="N472" i="23"/>
  <c r="O304" i="23"/>
  <c r="P304" i="23" s="1"/>
  <c r="P561" i="23"/>
  <c r="N729" i="23"/>
  <c r="P729" i="23" s="1"/>
  <c r="O618" i="23"/>
  <c r="O506" i="23"/>
  <c r="P506" i="23" s="1"/>
  <c r="P170" i="23"/>
  <c r="N562" i="23"/>
  <c r="O78" i="21"/>
  <c r="P77" i="21"/>
  <c r="P62" i="21"/>
  <c r="N112" i="15"/>
  <c r="P111" i="15"/>
  <c r="O434" i="13"/>
  <c r="N99" i="13"/>
  <c r="O378" i="13"/>
  <c r="P98" i="13"/>
  <c r="O546" i="13"/>
  <c r="N168" i="15"/>
  <c r="P167" i="15"/>
  <c r="N185" i="15"/>
  <c r="P184" i="15"/>
  <c r="N102" i="15"/>
  <c r="P101" i="15"/>
  <c r="P434" i="13"/>
  <c r="N71" i="12"/>
  <c r="P156" i="15"/>
  <c r="N157" i="15"/>
  <c r="O461" i="13"/>
  <c r="O405" i="13"/>
  <c r="N110" i="13"/>
  <c r="O389" i="13"/>
  <c r="O445" i="13"/>
  <c r="P445" i="13" s="1"/>
  <c r="N129" i="15"/>
  <c r="P128" i="15"/>
  <c r="P646" i="13"/>
  <c r="P628" i="13"/>
  <c r="O332" i="13"/>
  <c r="O612" i="13" s="1"/>
  <c r="O724" i="13"/>
  <c r="O668" i="13"/>
  <c r="O556" i="13"/>
  <c r="N702" i="13"/>
  <c r="P702" i="13" s="1"/>
  <c r="P534" i="13"/>
  <c r="N723" i="13"/>
  <c r="P723" i="13" s="1"/>
  <c r="P555" i="13"/>
  <c r="N740" i="13"/>
  <c r="P740" i="13" s="1"/>
  <c r="P572" i="13"/>
  <c r="N704" i="13"/>
  <c r="P704" i="13" s="1"/>
  <c r="P536" i="13"/>
  <c r="P600" i="13"/>
  <c r="P648" i="13"/>
  <c r="N668" i="13"/>
  <c r="P668" i="13" s="1"/>
  <c r="N500" i="13"/>
  <c r="P500" i="13" s="1"/>
  <c r="N556" i="13"/>
  <c r="N612" i="13"/>
  <c r="N517" i="13"/>
  <c r="P517" i="13" s="1"/>
  <c r="N629" i="13"/>
  <c r="N573" i="13"/>
  <c r="N741" i="13" s="1"/>
  <c r="O349" i="13"/>
  <c r="O629" i="13" s="1"/>
  <c r="O741" i="13"/>
  <c r="P741" i="13" s="1"/>
  <c r="O685" i="13"/>
  <c r="O573" i="13"/>
  <c r="P573" i="13" s="1"/>
  <c r="P209" i="13"/>
  <c r="N657" i="13"/>
  <c r="P657" i="13" s="1"/>
  <c r="N489" i="13"/>
  <c r="P489" i="13" s="1"/>
  <c r="N601" i="13"/>
  <c r="P601" i="13" s="1"/>
  <c r="N545" i="13"/>
  <c r="P201" i="13"/>
  <c r="N481" i="13"/>
  <c r="P481" i="13" s="1"/>
  <c r="N537" i="13"/>
  <c r="N593" i="13"/>
  <c r="P593" i="13" s="1"/>
  <c r="N649" i="13"/>
  <c r="P649" i="13" s="1"/>
  <c r="P535" i="13"/>
  <c r="N703" i="13"/>
  <c r="P703" i="13" s="1"/>
  <c r="N712" i="13"/>
  <c r="P712" i="13" s="1"/>
  <c r="P544" i="13"/>
  <c r="P181" i="13"/>
  <c r="P590" i="13"/>
  <c r="P647" i="13"/>
  <c r="P611" i="13"/>
  <c r="P667" i="13"/>
  <c r="P656" i="13"/>
  <c r="P592" i="13"/>
  <c r="O73" i="15"/>
  <c r="O129" i="15" s="1"/>
  <c r="P72" i="15"/>
  <c r="O56" i="15"/>
  <c r="O112" i="15" s="1"/>
  <c r="P55" i="15"/>
  <c r="Y36" i="12"/>
  <c r="AA35" i="12"/>
  <c r="N404" i="13"/>
  <c r="P404" i="13" s="1"/>
  <c r="P348" i="13"/>
  <c r="AA71" i="12"/>
  <c r="Y72" i="12"/>
  <c r="P320" i="13"/>
  <c r="N376" i="13"/>
  <c r="P376" i="13" s="1"/>
  <c r="P312" i="13"/>
  <c r="N368" i="13"/>
  <c r="P368" i="13" s="1"/>
  <c r="AJ46" i="12"/>
  <c r="N463" i="13"/>
  <c r="N72" i="13"/>
  <c r="O295" i="13"/>
  <c r="O267" i="13"/>
  <c r="N44" i="13"/>
  <c r="N435" i="13"/>
  <c r="P43" i="13"/>
  <c r="AL34" i="12"/>
  <c r="AJ35" i="12"/>
  <c r="AJ71" i="12"/>
  <c r="AL70" i="12"/>
  <c r="N182" i="13"/>
  <c r="P182" i="13" s="1"/>
  <c r="O71" i="12"/>
  <c r="P70" i="12"/>
  <c r="P237" i="13"/>
  <c r="P150" i="13"/>
  <c r="N165" i="13"/>
  <c r="O54" i="12"/>
  <c r="P53" i="12"/>
  <c r="P220" i="13"/>
  <c r="AL53" i="12"/>
  <c r="N277" i="13"/>
  <c r="N221" i="13"/>
  <c r="AK54" i="12"/>
  <c r="N238" i="13"/>
  <c r="N294" i="13"/>
  <c r="AK71" i="12"/>
  <c r="N46" i="12"/>
  <c r="P45" i="12"/>
  <c r="N313" i="13"/>
  <c r="P257" i="13"/>
  <c r="P310" i="13"/>
  <c r="N366" i="13"/>
  <c r="P366" i="13" s="1"/>
  <c r="P311" i="13"/>
  <c r="N367" i="13"/>
  <c r="P367" i="13" s="1"/>
  <c r="N266" i="13"/>
  <c r="N210" i="13"/>
  <c r="AK43" i="12"/>
  <c r="AL42" i="12"/>
  <c r="N258" i="13"/>
  <c r="AK35" i="12"/>
  <c r="N202" i="13"/>
  <c r="AA43" i="12"/>
  <c r="Y44" i="12"/>
  <c r="P276" i="13"/>
  <c r="N332" i="13"/>
  <c r="N446" i="13"/>
  <c r="N55" i="13"/>
  <c r="O278" i="13"/>
  <c r="N349" i="13"/>
  <c r="P293" i="13"/>
  <c r="Y55" i="12"/>
  <c r="AA54" i="12"/>
  <c r="N387" i="13"/>
  <c r="P387" i="13" s="1"/>
  <c r="P331" i="13"/>
  <c r="N321" i="13"/>
  <c r="P265" i="13"/>
  <c r="N58" i="12"/>
  <c r="AJ58" i="12"/>
  <c r="P126" i="13"/>
  <c r="O238" i="13"/>
  <c r="O166" i="13"/>
  <c r="O502" i="13" s="1"/>
  <c r="O110" i="13"/>
  <c r="O55" i="13"/>
  <c r="P54" i="13"/>
  <c r="O127" i="13"/>
  <c r="O72" i="13"/>
  <c r="P71" i="13"/>
  <c r="O183" i="13"/>
  <c r="O519" i="13" s="1"/>
  <c r="P109" i="13"/>
  <c r="O221" i="13"/>
  <c r="Z78" i="21" l="1"/>
  <c r="AA78" i="21" s="1"/>
  <c r="N190" i="23"/>
  <c r="AJ81" i="21"/>
  <c r="AK64" i="21"/>
  <c r="O733" i="23"/>
  <c r="O677" i="23"/>
  <c r="O341" i="23"/>
  <c r="P341" i="23" s="1"/>
  <c r="O565" i="23"/>
  <c r="AY80" i="21"/>
  <c r="AK80" i="21"/>
  <c r="AL80" i="21" s="1"/>
  <c r="N81" i="21"/>
  <c r="O63" i="21"/>
  <c r="N174" i="23"/>
  <c r="Z62" i="21"/>
  <c r="AA62" i="21" s="1"/>
  <c r="AY63" i="21"/>
  <c r="AJ63" i="21"/>
  <c r="AL63" i="21" s="1"/>
  <c r="Y64" i="21"/>
  <c r="O357" i="23"/>
  <c r="P357" i="23" s="1"/>
  <c r="O749" i="23"/>
  <c r="O693" i="23"/>
  <c r="O581" i="23"/>
  <c r="P461" i="13"/>
  <c r="N797" i="13"/>
  <c r="P797" i="13" s="1"/>
  <c r="N685" i="13"/>
  <c r="P685" i="13"/>
  <c r="O786" i="23"/>
  <c r="P786" i="23" s="1"/>
  <c r="P618" i="23"/>
  <c r="N808" i="23"/>
  <c r="P472" i="23"/>
  <c r="O455" i="23"/>
  <c r="N623" i="23" s="1"/>
  <c r="O399" i="23"/>
  <c r="P399" i="23" s="1"/>
  <c r="O619" i="23"/>
  <c r="O507" i="23"/>
  <c r="P507" i="23" s="1"/>
  <c r="P171" i="23"/>
  <c r="N563" i="23"/>
  <c r="O244" i="23"/>
  <c r="P244" i="23" s="1"/>
  <c r="P132" i="23"/>
  <c r="N511" i="23"/>
  <c r="O287" i="23"/>
  <c r="P287" i="23" s="1"/>
  <c r="N455" i="23"/>
  <c r="N790" i="23"/>
  <c r="P454" i="23"/>
  <c r="N730" i="23"/>
  <c r="P730" i="23" s="1"/>
  <c r="P562" i="23"/>
  <c r="N641" i="23"/>
  <c r="N473" i="23"/>
  <c r="N529" i="23"/>
  <c r="O305" i="23"/>
  <c r="P305" i="23" s="1"/>
  <c r="P306" i="23" s="1"/>
  <c r="O227" i="23"/>
  <c r="P227" i="23" s="1"/>
  <c r="P115" i="23"/>
  <c r="O636" i="23"/>
  <c r="O524" i="23"/>
  <c r="P524" i="23" s="1"/>
  <c r="P188" i="23"/>
  <c r="N580" i="23"/>
  <c r="O116" i="23"/>
  <c r="O61" i="23"/>
  <c r="O172" i="23"/>
  <c r="P60" i="23"/>
  <c r="N676" i="23"/>
  <c r="P676" i="23" s="1"/>
  <c r="N747" i="23"/>
  <c r="P747" i="23" s="1"/>
  <c r="P579" i="23"/>
  <c r="O189" i="23"/>
  <c r="O133" i="23"/>
  <c r="O78" i="23"/>
  <c r="N693" i="23"/>
  <c r="P693" i="23" s="1"/>
  <c r="P77" i="23"/>
  <c r="O803" i="23"/>
  <c r="P803" i="23" s="1"/>
  <c r="P635" i="23"/>
  <c r="O79" i="21"/>
  <c r="P78" i="21"/>
  <c r="P435" i="13"/>
  <c r="O446" i="13"/>
  <c r="N111" i="13"/>
  <c r="O390" i="13"/>
  <c r="P157" i="15"/>
  <c r="N158" i="15"/>
  <c r="N186" i="15"/>
  <c r="P185" i="15"/>
  <c r="N130" i="15"/>
  <c r="P129" i="15"/>
  <c r="O406" i="13"/>
  <c r="O462" i="13"/>
  <c r="N103" i="15"/>
  <c r="P103" i="15" s="1"/>
  <c r="P102" i="15"/>
  <c r="P168" i="15"/>
  <c r="N169" i="15"/>
  <c r="O379" i="13"/>
  <c r="P99" i="13"/>
  <c r="O435" i="13"/>
  <c r="N100" i="13"/>
  <c r="O547" i="13"/>
  <c r="N113" i="15"/>
  <c r="P112" i="15"/>
  <c r="P446" i="13"/>
  <c r="N72" i="12"/>
  <c r="P612" i="13"/>
  <c r="P221" i="13"/>
  <c r="P202" i="13"/>
  <c r="N538" i="13"/>
  <c r="N482" i="13"/>
  <c r="P482" i="13" s="1"/>
  <c r="N650" i="13"/>
  <c r="P650" i="13" s="1"/>
  <c r="N594" i="13"/>
  <c r="P594" i="13" s="1"/>
  <c r="O350" i="13"/>
  <c r="O630" i="13" s="1"/>
  <c r="O742" i="13"/>
  <c r="O686" i="13"/>
  <c r="O574" i="13"/>
  <c r="N713" i="13"/>
  <c r="P713" i="13" s="1"/>
  <c r="P545" i="13"/>
  <c r="N724" i="13"/>
  <c r="P724" i="13" s="1"/>
  <c r="P556" i="13"/>
  <c r="P629" i="13"/>
  <c r="P210" i="13"/>
  <c r="N546" i="13"/>
  <c r="N602" i="13"/>
  <c r="P602" i="13" s="1"/>
  <c r="N658" i="13"/>
  <c r="P658" i="13" s="1"/>
  <c r="N490" i="13"/>
  <c r="P490" i="13" s="1"/>
  <c r="N518" i="13"/>
  <c r="P518" i="13" s="1"/>
  <c r="N574" i="13"/>
  <c r="N613" i="13"/>
  <c r="N557" i="13"/>
  <c r="N669" i="13"/>
  <c r="N501" i="13"/>
  <c r="P501" i="13" s="1"/>
  <c r="O333" i="13"/>
  <c r="O613" i="13" s="1"/>
  <c r="O725" i="13"/>
  <c r="O669" i="13"/>
  <c r="O557" i="13"/>
  <c r="N705" i="13"/>
  <c r="P705" i="13" s="1"/>
  <c r="P537" i="13"/>
  <c r="O57" i="15"/>
  <c r="O113" i="15" s="1"/>
  <c r="P56" i="15"/>
  <c r="O74" i="15"/>
  <c r="O130" i="15" s="1"/>
  <c r="P73" i="15"/>
  <c r="AA44" i="12"/>
  <c r="Y45" i="12"/>
  <c r="N322" i="13"/>
  <c r="P266" i="13"/>
  <c r="P46" i="12"/>
  <c r="N47" i="12"/>
  <c r="P47" i="12" s="1"/>
  <c r="N350" i="13"/>
  <c r="P294" i="13"/>
  <c r="AA36" i="12"/>
  <c r="Y37" i="12"/>
  <c r="AA37" i="12" s="1"/>
  <c r="N377" i="13"/>
  <c r="P377" i="13" s="1"/>
  <c r="P321" i="13"/>
  <c r="N56" i="13"/>
  <c r="O279" i="13"/>
  <c r="N447" i="13"/>
  <c r="N259" i="13"/>
  <c r="N203" i="13"/>
  <c r="AK36" i="12"/>
  <c r="N166" i="13"/>
  <c r="O55" i="12"/>
  <c r="P54" i="12"/>
  <c r="N314" i="13"/>
  <c r="P258" i="13"/>
  <c r="AL54" i="12"/>
  <c r="AK55" i="12"/>
  <c r="N278" i="13"/>
  <c r="N222" i="13"/>
  <c r="AJ72" i="12"/>
  <c r="AL71" i="12"/>
  <c r="N464" i="13"/>
  <c r="O296" i="13"/>
  <c r="N73" i="13"/>
  <c r="P238" i="13"/>
  <c r="N388" i="13"/>
  <c r="P388" i="13" s="1"/>
  <c r="P332" i="13"/>
  <c r="AJ36" i="12"/>
  <c r="AL35" i="12"/>
  <c r="Y73" i="12"/>
  <c r="AA72" i="12"/>
  <c r="N211" i="13"/>
  <c r="N267" i="13"/>
  <c r="AK44" i="12"/>
  <c r="AL43" i="12"/>
  <c r="P313" i="13"/>
  <c r="N369" i="13"/>
  <c r="P369" i="13" s="1"/>
  <c r="N333" i="13"/>
  <c r="P277" i="13"/>
  <c r="P165" i="13"/>
  <c r="AA55" i="12"/>
  <c r="Y56" i="12"/>
  <c r="AJ47" i="12"/>
  <c r="P349" i="13"/>
  <c r="N405" i="13"/>
  <c r="P405" i="13" s="1"/>
  <c r="N239" i="13"/>
  <c r="N295" i="13"/>
  <c r="AK72" i="12"/>
  <c r="N183" i="13"/>
  <c r="P183" i="13" s="1"/>
  <c r="O72" i="12"/>
  <c r="P71" i="12"/>
  <c r="N436" i="13"/>
  <c r="O268" i="13"/>
  <c r="N45" i="13"/>
  <c r="P44" i="13"/>
  <c r="AJ59" i="12"/>
  <c r="N59" i="12"/>
  <c r="O184" i="13"/>
  <c r="O520" i="13" s="1"/>
  <c r="O73" i="13"/>
  <c r="P72" i="13"/>
  <c r="O128" i="13"/>
  <c r="P127" i="13"/>
  <c r="O239" i="13"/>
  <c r="O167" i="13"/>
  <c r="O503" i="13" s="1"/>
  <c r="O111" i="13"/>
  <c r="P55" i="13"/>
  <c r="O56" i="13"/>
  <c r="O222" i="13"/>
  <c r="P110" i="13"/>
  <c r="N191" i="23" l="1"/>
  <c r="Z79" i="21"/>
  <c r="AA79" i="21" s="1"/>
  <c r="O64" i="21"/>
  <c r="N175" i="23"/>
  <c r="Z63" i="21"/>
  <c r="AA63" i="21" s="1"/>
  <c r="P63" i="21"/>
  <c r="O694" i="23"/>
  <c r="O750" i="23"/>
  <c r="O582" i="23"/>
  <c r="O358" i="23"/>
  <c r="P358" i="23" s="1"/>
  <c r="AK81" i="21"/>
  <c r="AL81" i="21" s="1"/>
  <c r="AL82" i="21" s="1"/>
  <c r="AY81" i="21"/>
  <c r="AY82" i="21" s="1"/>
  <c r="AJ64" i="21"/>
  <c r="AL64" i="21" s="1"/>
  <c r="AL65" i="21" s="1"/>
  <c r="AY64" i="21"/>
  <c r="AY65" i="21" s="1"/>
  <c r="O734" i="23"/>
  <c r="O342" i="23"/>
  <c r="P342" i="23" s="1"/>
  <c r="O678" i="23"/>
  <c r="O566" i="23"/>
  <c r="P462" i="13"/>
  <c r="N798" i="13"/>
  <c r="P798" i="13" s="1"/>
  <c r="N630" i="13"/>
  <c r="P630" i="13" s="1"/>
  <c r="O245" i="23"/>
  <c r="P245" i="23" s="1"/>
  <c r="P133" i="23"/>
  <c r="O173" i="23"/>
  <c r="O62" i="23"/>
  <c r="O117" i="23"/>
  <c r="P61" i="23"/>
  <c r="N677" i="23"/>
  <c r="P677" i="23" s="1"/>
  <c r="N731" i="23"/>
  <c r="P731" i="23" s="1"/>
  <c r="P563" i="23"/>
  <c r="O637" i="23"/>
  <c r="O525" i="23"/>
  <c r="P525" i="23" s="1"/>
  <c r="P189" i="23"/>
  <c r="N581" i="23"/>
  <c r="O228" i="23"/>
  <c r="P228" i="23" s="1"/>
  <c r="P116" i="23"/>
  <c r="N809" i="23"/>
  <c r="P473" i="23"/>
  <c r="P474" i="23" s="1"/>
  <c r="N512" i="23"/>
  <c r="N456" i="23"/>
  <c r="O288" i="23"/>
  <c r="P288" i="23" s="1"/>
  <c r="P289" i="23" s="1"/>
  <c r="V257" i="23" s="1"/>
  <c r="O804" i="23"/>
  <c r="P804" i="23" s="1"/>
  <c r="P636" i="23"/>
  <c r="O400" i="23"/>
  <c r="P400" i="23" s="1"/>
  <c r="P401" i="23" s="1"/>
  <c r="V369" i="23" s="1"/>
  <c r="O456" i="23"/>
  <c r="N624" i="23" s="1"/>
  <c r="O134" i="23"/>
  <c r="O190" i="23"/>
  <c r="O79" i="23"/>
  <c r="P78" i="23"/>
  <c r="N694" i="23"/>
  <c r="O620" i="23"/>
  <c r="O508" i="23"/>
  <c r="P508" i="23" s="1"/>
  <c r="P172" i="23"/>
  <c r="N564" i="23"/>
  <c r="P580" i="23"/>
  <c r="N748" i="23"/>
  <c r="P748" i="23" s="1"/>
  <c r="N791" i="23"/>
  <c r="P455" i="23"/>
  <c r="O787" i="23"/>
  <c r="P787" i="23" s="1"/>
  <c r="P619" i="23"/>
  <c r="O80" i="21"/>
  <c r="P79" i="21"/>
  <c r="P160" i="15"/>
  <c r="O548" i="13"/>
  <c r="P100" i="13"/>
  <c r="O436" i="13"/>
  <c r="P436" i="13" s="1"/>
  <c r="N101" i="13"/>
  <c r="O380" i="13"/>
  <c r="O463" i="13"/>
  <c r="O407" i="13"/>
  <c r="N114" i="15"/>
  <c r="P113" i="15"/>
  <c r="P104" i="15"/>
  <c r="N187" i="15"/>
  <c r="P186" i="15"/>
  <c r="O447" i="13"/>
  <c r="N112" i="13"/>
  <c r="O391" i="13"/>
  <c r="P169" i="15"/>
  <c r="N170" i="15"/>
  <c r="P447" i="13"/>
  <c r="N686" i="13"/>
  <c r="P686" i="13" s="1"/>
  <c r="N128" i="13"/>
  <c r="N73" i="12"/>
  <c r="N131" i="15"/>
  <c r="P130" i="15"/>
  <c r="N159" i="15"/>
  <c r="P159" i="15" s="1"/>
  <c r="P158" i="15"/>
  <c r="P48" i="12"/>
  <c r="N519" i="13"/>
  <c r="P519" i="13" s="1"/>
  <c r="N631" i="13"/>
  <c r="N575" i="13"/>
  <c r="P211" i="13"/>
  <c r="N659" i="13"/>
  <c r="P659" i="13" s="1"/>
  <c r="N491" i="13"/>
  <c r="P491" i="13" s="1"/>
  <c r="N603" i="13"/>
  <c r="P603" i="13" s="1"/>
  <c r="N547" i="13"/>
  <c r="O351" i="13"/>
  <c r="O631" i="13" s="1"/>
  <c r="O743" i="13"/>
  <c r="O687" i="13"/>
  <c r="O575" i="13"/>
  <c r="N725" i="13"/>
  <c r="P725" i="13" s="1"/>
  <c r="P557" i="13"/>
  <c r="N706" i="13"/>
  <c r="P706" i="13" s="1"/>
  <c r="P538" i="13"/>
  <c r="P239" i="13"/>
  <c r="N558" i="13"/>
  <c r="N614" i="13"/>
  <c r="N670" i="13"/>
  <c r="N502" i="13"/>
  <c r="P502" i="13" s="1"/>
  <c r="O334" i="13"/>
  <c r="O614" i="13" s="1"/>
  <c r="O726" i="13"/>
  <c r="O670" i="13"/>
  <c r="O558" i="13"/>
  <c r="P203" i="13"/>
  <c r="N483" i="13"/>
  <c r="P483" i="13" s="1"/>
  <c r="N539" i="13"/>
  <c r="N595" i="13"/>
  <c r="P595" i="13" s="1"/>
  <c r="N651" i="13"/>
  <c r="P651" i="13" s="1"/>
  <c r="P574" i="13"/>
  <c r="N742" i="13"/>
  <c r="P742" i="13" s="1"/>
  <c r="N714" i="13"/>
  <c r="P714" i="13" s="1"/>
  <c r="P546" i="13"/>
  <c r="P669" i="13"/>
  <c r="P613" i="13"/>
  <c r="O75" i="15"/>
  <c r="O131" i="15" s="1"/>
  <c r="P74" i="15"/>
  <c r="O58" i="15"/>
  <c r="O114" i="15" s="1"/>
  <c r="P57" i="15"/>
  <c r="AL55" i="12"/>
  <c r="N223" i="13"/>
  <c r="AK56" i="12"/>
  <c r="N279" i="13"/>
  <c r="P333" i="13"/>
  <c r="N389" i="13"/>
  <c r="P389" i="13" s="1"/>
  <c r="N465" i="13"/>
  <c r="O297" i="13"/>
  <c r="N74" i="13"/>
  <c r="N204" i="13"/>
  <c r="AK37" i="12"/>
  <c r="N260" i="13"/>
  <c r="AA45" i="12"/>
  <c r="Y46" i="12"/>
  <c r="AA38" i="12"/>
  <c r="AL36" i="12"/>
  <c r="AJ37" i="12"/>
  <c r="N315" i="13"/>
  <c r="P259" i="13"/>
  <c r="N296" i="13"/>
  <c r="AK73" i="12"/>
  <c r="N240" i="13"/>
  <c r="Y57" i="12"/>
  <c r="AA56" i="12"/>
  <c r="P314" i="13"/>
  <c r="N370" i="13"/>
  <c r="P370" i="13" s="1"/>
  <c r="N406" i="13"/>
  <c r="P406" i="13" s="1"/>
  <c r="P350" i="13"/>
  <c r="P295" i="13"/>
  <c r="N351" i="13"/>
  <c r="AK45" i="12"/>
  <c r="N268" i="13"/>
  <c r="N212" i="13"/>
  <c r="AL44" i="12"/>
  <c r="AJ73" i="12"/>
  <c r="AL72" i="12"/>
  <c r="P166" i="13"/>
  <c r="N378" i="13"/>
  <c r="P378" i="13" s="1"/>
  <c r="P322" i="13"/>
  <c r="Y74" i="12"/>
  <c r="AA73" i="12"/>
  <c r="N184" i="13"/>
  <c r="O73" i="12"/>
  <c r="P72" i="12"/>
  <c r="P45" i="13"/>
  <c r="N46" i="13"/>
  <c r="N437" i="13"/>
  <c r="O269" i="13"/>
  <c r="P267" i="13"/>
  <c r="N323" i="13"/>
  <c r="O280" i="13"/>
  <c r="N448" i="13"/>
  <c r="N57" i="13"/>
  <c r="P222" i="13"/>
  <c r="N334" i="13"/>
  <c r="P278" i="13"/>
  <c r="N167" i="13"/>
  <c r="O56" i="12"/>
  <c r="P55" i="12"/>
  <c r="N60" i="12"/>
  <c r="AJ60" i="12"/>
  <c r="P111" i="13"/>
  <c r="O223" i="13"/>
  <c r="O185" i="13"/>
  <c r="O521" i="13" s="1"/>
  <c r="O74" i="13"/>
  <c r="P73" i="13"/>
  <c r="O129" i="13"/>
  <c r="O168" i="13"/>
  <c r="O504" i="13" s="1"/>
  <c r="O112" i="13"/>
  <c r="O57" i="13"/>
  <c r="P56" i="13"/>
  <c r="P128" i="13"/>
  <c r="O240" i="13"/>
  <c r="Z64" i="21" l="1"/>
  <c r="AA64" i="21" s="1"/>
  <c r="N176" i="23"/>
  <c r="P64" i="21"/>
  <c r="P65" i="21" s="1"/>
  <c r="N192" i="23"/>
  <c r="Z80" i="21"/>
  <c r="AA80" i="21" s="1"/>
  <c r="P694" i="23"/>
  <c r="AA65" i="21"/>
  <c r="O343" i="23"/>
  <c r="P343" i="23" s="1"/>
  <c r="O735" i="23"/>
  <c r="O679" i="23"/>
  <c r="O567" i="23"/>
  <c r="O359" i="23"/>
  <c r="P359" i="23" s="1"/>
  <c r="O583" i="23"/>
  <c r="O751" i="23"/>
  <c r="O695" i="23"/>
  <c r="P463" i="13"/>
  <c r="N799" i="13"/>
  <c r="P799" i="13" s="1"/>
  <c r="P810" i="13" s="1"/>
  <c r="N792" i="23"/>
  <c r="P456" i="23"/>
  <c r="P457" i="23" s="1"/>
  <c r="V425" i="23" s="1"/>
  <c r="N749" i="23"/>
  <c r="P749" i="23" s="1"/>
  <c r="P581" i="23"/>
  <c r="O509" i="23"/>
  <c r="P509" i="23" s="1"/>
  <c r="O621" i="23"/>
  <c r="P173" i="23"/>
  <c r="N565" i="23"/>
  <c r="N732" i="23"/>
  <c r="P732" i="23" s="1"/>
  <c r="P564" i="23"/>
  <c r="O246" i="23"/>
  <c r="P246" i="23" s="1"/>
  <c r="P134" i="23"/>
  <c r="O229" i="23"/>
  <c r="P229" i="23" s="1"/>
  <c r="P117" i="23"/>
  <c r="O788" i="23"/>
  <c r="P788" i="23" s="1"/>
  <c r="P620" i="23"/>
  <c r="O638" i="23"/>
  <c r="O526" i="23"/>
  <c r="P526" i="23" s="1"/>
  <c r="P190" i="23"/>
  <c r="N582" i="23"/>
  <c r="O135" i="23"/>
  <c r="O80" i="23"/>
  <c r="O191" i="23"/>
  <c r="N695" i="23"/>
  <c r="P79" i="23"/>
  <c r="O805" i="23"/>
  <c r="P805" i="23" s="1"/>
  <c r="P637" i="23"/>
  <c r="O174" i="23"/>
  <c r="O63" i="23"/>
  <c r="O118" i="23"/>
  <c r="P62" i="23"/>
  <c r="N678" i="23"/>
  <c r="P678" i="23" s="1"/>
  <c r="O81" i="21"/>
  <c r="P80" i="21"/>
  <c r="N74" i="12"/>
  <c r="N129" i="13"/>
  <c r="P170" i="15"/>
  <c r="N171" i="15"/>
  <c r="N132" i="15"/>
  <c r="P131" i="15"/>
  <c r="O392" i="13"/>
  <c r="O448" i="13"/>
  <c r="P448" i="13" s="1"/>
  <c r="N113" i="13"/>
  <c r="AL37" i="12"/>
  <c r="N687" i="13"/>
  <c r="P687" i="13" s="1"/>
  <c r="O464" i="13"/>
  <c r="P464" i="13" s="1"/>
  <c r="O408" i="13"/>
  <c r="N115" i="15"/>
  <c r="P114" i="15"/>
  <c r="P437" i="13"/>
  <c r="N188" i="15"/>
  <c r="P187" i="15"/>
  <c r="O549" i="13"/>
  <c r="O381" i="13"/>
  <c r="N102" i="13"/>
  <c r="P101" i="13"/>
  <c r="O437" i="13"/>
  <c r="P223" i="13"/>
  <c r="AL38" i="12"/>
  <c r="P614" i="13"/>
  <c r="O352" i="13"/>
  <c r="O632" i="13" s="1"/>
  <c r="O744" i="13"/>
  <c r="O688" i="13"/>
  <c r="O576" i="13"/>
  <c r="O335" i="13"/>
  <c r="O615" i="13" s="1"/>
  <c r="O727" i="13"/>
  <c r="O671" i="13"/>
  <c r="O559" i="13"/>
  <c r="N576" i="13"/>
  <c r="N688" i="13"/>
  <c r="P688" i="13" s="1"/>
  <c r="N520" i="13"/>
  <c r="P520" i="13" s="1"/>
  <c r="P204" i="13"/>
  <c r="N540" i="13"/>
  <c r="N484" i="13"/>
  <c r="P484" i="13" s="1"/>
  <c r="N652" i="13"/>
  <c r="P652" i="13" s="1"/>
  <c r="N596" i="13"/>
  <c r="P596" i="13" s="1"/>
  <c r="N615" i="13"/>
  <c r="N559" i="13"/>
  <c r="N671" i="13"/>
  <c r="N503" i="13"/>
  <c r="P503" i="13" s="1"/>
  <c r="N707" i="13"/>
  <c r="P707" i="13" s="1"/>
  <c r="P539" i="13"/>
  <c r="P558" i="13"/>
  <c r="N726" i="13"/>
  <c r="P726" i="13" s="1"/>
  <c r="N743" i="13"/>
  <c r="P743" i="13" s="1"/>
  <c r="P575" i="13"/>
  <c r="P167" i="13"/>
  <c r="P184" i="13"/>
  <c r="P670" i="13"/>
  <c r="P631" i="13"/>
  <c r="P212" i="13"/>
  <c r="N660" i="13"/>
  <c r="P660" i="13" s="1"/>
  <c r="N492" i="13"/>
  <c r="P492" i="13" s="1"/>
  <c r="N548" i="13"/>
  <c r="N604" i="13"/>
  <c r="P604" i="13" s="1"/>
  <c r="N715" i="13"/>
  <c r="P715" i="13" s="1"/>
  <c r="P547" i="13"/>
  <c r="O59" i="15"/>
  <c r="O115" i="15" s="1"/>
  <c r="P58" i="15"/>
  <c r="O76" i="15"/>
  <c r="O132" i="15" s="1"/>
  <c r="P75" i="15"/>
  <c r="N261" i="13"/>
  <c r="N205" i="13"/>
  <c r="N213" i="13"/>
  <c r="N269" i="13"/>
  <c r="AK46" i="12"/>
  <c r="AL45" i="12"/>
  <c r="N407" i="13"/>
  <c r="P407" i="13" s="1"/>
  <c r="P351" i="13"/>
  <c r="P323" i="13"/>
  <c r="N379" i="13"/>
  <c r="P379" i="13" s="1"/>
  <c r="N185" i="13"/>
  <c r="O74" i="12"/>
  <c r="P73" i="12"/>
  <c r="N241" i="13"/>
  <c r="AK74" i="12"/>
  <c r="N297" i="13"/>
  <c r="P334" i="13"/>
  <c r="N390" i="13"/>
  <c r="P390" i="13" s="1"/>
  <c r="AJ74" i="12"/>
  <c r="AL73" i="12"/>
  <c r="P296" i="13"/>
  <c r="N352" i="13"/>
  <c r="Y47" i="12"/>
  <c r="AA47" i="12" s="1"/>
  <c r="AA46" i="12"/>
  <c r="N466" i="13"/>
  <c r="O298" i="13"/>
  <c r="N75" i="13"/>
  <c r="O281" i="13"/>
  <c r="N449" i="13"/>
  <c r="N58" i="13"/>
  <c r="N324" i="13"/>
  <c r="P268" i="13"/>
  <c r="AL56" i="12"/>
  <c r="N280" i="13"/>
  <c r="AK57" i="12"/>
  <c r="N224" i="13"/>
  <c r="N168" i="13"/>
  <c r="O57" i="12"/>
  <c r="P56" i="12"/>
  <c r="Y58" i="12"/>
  <c r="AA57" i="12"/>
  <c r="P240" i="13"/>
  <c r="N438" i="13"/>
  <c r="O270" i="13"/>
  <c r="P46" i="13"/>
  <c r="N47" i="13"/>
  <c r="Y75" i="12"/>
  <c r="AA74" i="12"/>
  <c r="P315" i="13"/>
  <c r="N371" i="13"/>
  <c r="P371" i="13" s="1"/>
  <c r="N316" i="13"/>
  <c r="P260" i="13"/>
  <c r="N335" i="13"/>
  <c r="P279" i="13"/>
  <c r="AJ61" i="12"/>
  <c r="N61" i="12"/>
  <c r="P112" i="13"/>
  <c r="O224" i="13"/>
  <c r="P224" i="13" s="1"/>
  <c r="O241" i="13"/>
  <c r="P241" i="13" s="1"/>
  <c r="P129" i="13"/>
  <c r="O130" i="13"/>
  <c r="O186" i="13"/>
  <c r="O522" i="13" s="1"/>
  <c r="O75" i="13"/>
  <c r="P74" i="13"/>
  <c r="O113" i="13"/>
  <c r="O58" i="13"/>
  <c r="O169" i="13"/>
  <c r="O505" i="13" s="1"/>
  <c r="P57" i="13"/>
  <c r="P695" i="23" l="1"/>
  <c r="O696" i="23"/>
  <c r="O752" i="23"/>
  <c r="O584" i="23"/>
  <c r="O360" i="23"/>
  <c r="P360" i="23" s="1"/>
  <c r="P81" i="21"/>
  <c r="P82" i="21" s="1"/>
  <c r="Z81" i="21"/>
  <c r="AA81" i="21" s="1"/>
  <c r="AA82" i="21" s="1"/>
  <c r="N193" i="23"/>
  <c r="O736" i="23"/>
  <c r="O680" i="23"/>
  <c r="O344" i="23"/>
  <c r="P344" i="23" s="1"/>
  <c r="P345" i="23" s="1"/>
  <c r="O568" i="23"/>
  <c r="N750" i="23"/>
  <c r="P750" i="23" s="1"/>
  <c r="P582" i="23"/>
  <c r="O230" i="23"/>
  <c r="P230" i="23" s="1"/>
  <c r="P118" i="23"/>
  <c r="O639" i="23"/>
  <c r="O527" i="23"/>
  <c r="P527" i="23" s="1"/>
  <c r="P191" i="23"/>
  <c r="N583" i="23"/>
  <c r="O789" i="23"/>
  <c r="P789" i="23" s="1"/>
  <c r="P621" i="23"/>
  <c r="O119" i="23"/>
  <c r="O175" i="23"/>
  <c r="O64" i="23"/>
  <c r="P63" i="23"/>
  <c r="N679" i="23"/>
  <c r="P679" i="23" s="1"/>
  <c r="O81" i="23"/>
  <c r="O136" i="23"/>
  <c r="O192" i="23"/>
  <c r="P80" i="23"/>
  <c r="N696" i="23"/>
  <c r="O622" i="23"/>
  <c r="O510" i="23"/>
  <c r="P510" i="23" s="1"/>
  <c r="P174" i="23"/>
  <c r="N566" i="23"/>
  <c r="O247" i="23"/>
  <c r="P247" i="23" s="1"/>
  <c r="P135" i="23"/>
  <c r="O806" i="23"/>
  <c r="P806" i="23" s="1"/>
  <c r="P638" i="23"/>
  <c r="N733" i="23"/>
  <c r="P733" i="23" s="1"/>
  <c r="P565" i="23"/>
  <c r="N114" i="13"/>
  <c r="O449" i="13"/>
  <c r="O393" i="13"/>
  <c r="N133" i="15"/>
  <c r="P132" i="15"/>
  <c r="N632" i="13"/>
  <c r="N172" i="15"/>
  <c r="P171" i="15"/>
  <c r="P449" i="13"/>
  <c r="N75" i="12"/>
  <c r="N130" i="13"/>
  <c r="N116" i="15"/>
  <c r="P115" i="15"/>
  <c r="O550" i="13"/>
  <c r="N103" i="13"/>
  <c r="O438" i="13"/>
  <c r="P438" i="13" s="1"/>
  <c r="P102" i="13"/>
  <c r="O382" i="13"/>
  <c r="N189" i="15"/>
  <c r="P188" i="15"/>
  <c r="O465" i="13"/>
  <c r="P465" i="13" s="1"/>
  <c r="O409" i="13"/>
  <c r="O336" i="13"/>
  <c r="O616" i="13" s="1"/>
  <c r="O728" i="13"/>
  <c r="O672" i="13"/>
  <c r="O560" i="13"/>
  <c r="N672" i="13"/>
  <c r="P672" i="13" s="1"/>
  <c r="N504" i="13"/>
  <c r="P504" i="13" s="1"/>
  <c r="N560" i="13"/>
  <c r="N616" i="13"/>
  <c r="N689" i="13"/>
  <c r="N521" i="13"/>
  <c r="P521" i="13" s="1"/>
  <c r="N633" i="13"/>
  <c r="N577" i="13"/>
  <c r="P213" i="13"/>
  <c r="N605" i="13"/>
  <c r="P605" i="13" s="1"/>
  <c r="N549" i="13"/>
  <c r="N661" i="13"/>
  <c r="P661" i="13" s="1"/>
  <c r="N493" i="13"/>
  <c r="P493" i="13" s="1"/>
  <c r="N716" i="13"/>
  <c r="P716" i="13" s="1"/>
  <c r="P548" i="13"/>
  <c r="P540" i="13"/>
  <c r="N708" i="13"/>
  <c r="P708" i="13" s="1"/>
  <c r="AA48" i="12"/>
  <c r="P168" i="13"/>
  <c r="P671" i="13"/>
  <c r="P615" i="13"/>
  <c r="P632" i="13"/>
  <c r="O353" i="13"/>
  <c r="O633" i="13" s="1"/>
  <c r="O745" i="13"/>
  <c r="O689" i="13"/>
  <c r="P689" i="13" s="1"/>
  <c r="O577" i="13"/>
  <c r="P205" i="13"/>
  <c r="P206" i="13" s="1"/>
  <c r="N485" i="13"/>
  <c r="P485" i="13" s="1"/>
  <c r="P486" i="13" s="1"/>
  <c r="N541" i="13"/>
  <c r="N597" i="13"/>
  <c r="P597" i="13" s="1"/>
  <c r="P598" i="13" s="1"/>
  <c r="N653" i="13"/>
  <c r="P653" i="13" s="1"/>
  <c r="P654" i="13" s="1"/>
  <c r="P559" i="13"/>
  <c r="N727" i="13"/>
  <c r="P727" i="13" s="1"/>
  <c r="N744" i="13"/>
  <c r="P744" i="13" s="1"/>
  <c r="P576" i="13"/>
  <c r="O77" i="15"/>
  <c r="O133" i="15" s="1"/>
  <c r="P76" i="15"/>
  <c r="O60" i="15"/>
  <c r="O116" i="15" s="1"/>
  <c r="P59" i="15"/>
  <c r="N467" i="13"/>
  <c r="O299" i="13"/>
  <c r="N76" i="13"/>
  <c r="N325" i="13"/>
  <c r="P269" i="13"/>
  <c r="O271" i="13"/>
  <c r="P47" i="13"/>
  <c r="P48" i="13" s="1"/>
  <c r="N439" i="13"/>
  <c r="P316" i="13"/>
  <c r="N372" i="13"/>
  <c r="P372" i="13" s="1"/>
  <c r="P352" i="13"/>
  <c r="N408" i="13"/>
  <c r="P408" i="13" s="1"/>
  <c r="AL57" i="12"/>
  <c r="N281" i="13"/>
  <c r="N225" i="13"/>
  <c r="AK58" i="12"/>
  <c r="P185" i="13"/>
  <c r="N186" i="13"/>
  <c r="P186" i="13" s="1"/>
  <c r="O75" i="12"/>
  <c r="P74" i="12"/>
  <c r="N270" i="13"/>
  <c r="N214" i="13"/>
  <c r="AK47" i="12"/>
  <c r="AL46" i="12"/>
  <c r="P280" i="13"/>
  <c r="N336" i="13"/>
  <c r="AJ75" i="12"/>
  <c r="AL74" i="12"/>
  <c r="AA75" i="12"/>
  <c r="Y76" i="12"/>
  <c r="AA58" i="12"/>
  <c r="Y59" i="12"/>
  <c r="N391" i="13"/>
  <c r="P391" i="13" s="1"/>
  <c r="P335" i="13"/>
  <c r="P324" i="13"/>
  <c r="N380" i="13"/>
  <c r="P380" i="13" s="1"/>
  <c r="N353" i="13"/>
  <c r="P297" i="13"/>
  <c r="N317" i="13"/>
  <c r="P261" i="13"/>
  <c r="P262" i="13" s="1"/>
  <c r="N169" i="13"/>
  <c r="O58" i="12"/>
  <c r="P57" i="12"/>
  <c r="O282" i="13"/>
  <c r="N450" i="13"/>
  <c r="N59" i="13"/>
  <c r="AK75" i="12"/>
  <c r="N298" i="13"/>
  <c r="N242" i="13"/>
  <c r="AJ62" i="12"/>
  <c r="N62" i="12"/>
  <c r="O242" i="13"/>
  <c r="P130" i="13"/>
  <c r="O131" i="13"/>
  <c r="P75" i="13"/>
  <c r="O76" i="13"/>
  <c r="O187" i="13"/>
  <c r="O523" i="13" s="1"/>
  <c r="O170" i="13"/>
  <c r="O506" i="13" s="1"/>
  <c r="O114" i="13"/>
  <c r="O59" i="13"/>
  <c r="P58" i="13"/>
  <c r="P113" i="13"/>
  <c r="O225" i="13"/>
  <c r="P225" i="13" s="1"/>
  <c r="P696" i="23" l="1"/>
  <c r="O753" i="23"/>
  <c r="O361" i="23"/>
  <c r="P361" i="23" s="1"/>
  <c r="P362" i="23" s="1"/>
  <c r="V313" i="23" s="1"/>
  <c r="O585" i="23"/>
  <c r="O697" i="23"/>
  <c r="P566" i="23"/>
  <c r="N734" i="23"/>
  <c r="P734" i="23" s="1"/>
  <c r="O248" i="23"/>
  <c r="P248" i="23" s="1"/>
  <c r="P136" i="23"/>
  <c r="O120" i="23"/>
  <c r="O176" i="23"/>
  <c r="P64" i="23"/>
  <c r="P65" i="23" s="1"/>
  <c r="N680" i="23"/>
  <c r="P680" i="23" s="1"/>
  <c r="P681" i="23" s="1"/>
  <c r="O807" i="23"/>
  <c r="P807" i="23" s="1"/>
  <c r="P639" i="23"/>
  <c r="O193" i="23"/>
  <c r="O137" i="23"/>
  <c r="P81" i="23"/>
  <c r="P82" i="23" s="1"/>
  <c r="N697" i="23"/>
  <c r="O623" i="23"/>
  <c r="O511" i="23"/>
  <c r="P511" i="23" s="1"/>
  <c r="P175" i="23"/>
  <c r="N567" i="23"/>
  <c r="N751" i="23"/>
  <c r="P751" i="23" s="1"/>
  <c r="P583" i="23"/>
  <c r="O231" i="23"/>
  <c r="P231" i="23" s="1"/>
  <c r="P119" i="23"/>
  <c r="O790" i="23"/>
  <c r="P790" i="23" s="1"/>
  <c r="P622" i="23"/>
  <c r="O640" i="23"/>
  <c r="O528" i="23"/>
  <c r="P528" i="23" s="1"/>
  <c r="P192" i="23"/>
  <c r="N584" i="23"/>
  <c r="O551" i="13"/>
  <c r="P103" i="13"/>
  <c r="P104" i="13" s="1"/>
  <c r="O383" i="13"/>
  <c r="O439" i="13"/>
  <c r="P439" i="13" s="1"/>
  <c r="P440" i="13" s="1"/>
  <c r="N134" i="15"/>
  <c r="P133" i="15"/>
  <c r="N190" i="15"/>
  <c r="P189" i="15"/>
  <c r="N117" i="15"/>
  <c r="P116" i="15"/>
  <c r="O394" i="13"/>
  <c r="N115" i="13"/>
  <c r="O450" i="13"/>
  <c r="P450" i="13" s="1"/>
  <c r="O466" i="13"/>
  <c r="P466" i="13" s="1"/>
  <c r="O410" i="13"/>
  <c r="P172" i="15"/>
  <c r="N173" i="15"/>
  <c r="N76" i="12"/>
  <c r="N131" i="13"/>
  <c r="P616" i="13"/>
  <c r="N617" i="13"/>
  <c r="N561" i="13"/>
  <c r="N673" i="13"/>
  <c r="N505" i="13"/>
  <c r="P505" i="13" s="1"/>
  <c r="P577" i="13"/>
  <c r="N745" i="13"/>
  <c r="P745" i="13" s="1"/>
  <c r="N578" i="13"/>
  <c r="N634" i="13"/>
  <c r="N522" i="13"/>
  <c r="P522" i="13" s="1"/>
  <c r="O337" i="13"/>
  <c r="O617" i="13" s="1"/>
  <c r="O729" i="13"/>
  <c r="O673" i="13"/>
  <c r="O561" i="13"/>
  <c r="P214" i="13"/>
  <c r="N662" i="13"/>
  <c r="P662" i="13" s="1"/>
  <c r="N494" i="13"/>
  <c r="P494" i="13" s="1"/>
  <c r="N550" i="13"/>
  <c r="N606" i="13"/>
  <c r="P606" i="13" s="1"/>
  <c r="O354" i="13"/>
  <c r="O634" i="13" s="1"/>
  <c r="O746" i="13"/>
  <c r="O690" i="13"/>
  <c r="O578" i="13"/>
  <c r="P541" i="13"/>
  <c r="P542" i="13" s="1"/>
  <c r="N709" i="13"/>
  <c r="P709" i="13" s="1"/>
  <c r="P710" i="13" s="1"/>
  <c r="N717" i="13"/>
  <c r="P717" i="13" s="1"/>
  <c r="P549" i="13"/>
  <c r="N728" i="13"/>
  <c r="P728" i="13" s="1"/>
  <c r="P560" i="13"/>
  <c r="P633" i="13"/>
  <c r="O61" i="15"/>
  <c r="O117" i="15" s="1"/>
  <c r="P60" i="15"/>
  <c r="O78" i="15"/>
  <c r="O134" i="15" s="1"/>
  <c r="P77" i="15"/>
  <c r="P270" i="13"/>
  <c r="N326" i="13"/>
  <c r="AJ76" i="12"/>
  <c r="AL75" i="12"/>
  <c r="N354" i="13"/>
  <c r="P298" i="13"/>
  <c r="N392" i="13"/>
  <c r="P392" i="13" s="1"/>
  <c r="P336" i="13"/>
  <c r="N187" i="13"/>
  <c r="O76" i="12"/>
  <c r="P75" i="12"/>
  <c r="N299" i="13"/>
  <c r="AK76" i="12"/>
  <c r="N243" i="13"/>
  <c r="Y60" i="12"/>
  <c r="AA59" i="12"/>
  <c r="N381" i="13"/>
  <c r="P381" i="13" s="1"/>
  <c r="P325" i="13"/>
  <c r="N170" i="13"/>
  <c r="O59" i="12"/>
  <c r="P58" i="12"/>
  <c r="O283" i="13"/>
  <c r="N451" i="13"/>
  <c r="N60" i="13"/>
  <c r="N373" i="13"/>
  <c r="P373" i="13" s="1"/>
  <c r="P374" i="13" s="1"/>
  <c r="P317" i="13"/>
  <c r="P318" i="13" s="1"/>
  <c r="O300" i="13"/>
  <c r="N77" i="13"/>
  <c r="N468" i="13"/>
  <c r="P242" i="13"/>
  <c r="AL58" i="12"/>
  <c r="N282" i="13"/>
  <c r="N226" i="13"/>
  <c r="AK59" i="12"/>
  <c r="N409" i="13"/>
  <c r="P409" i="13" s="1"/>
  <c r="P353" i="13"/>
  <c r="AA76" i="12"/>
  <c r="Y77" i="12"/>
  <c r="N215" i="13"/>
  <c r="N271" i="13"/>
  <c r="AL47" i="12"/>
  <c r="AL48" i="12" s="1"/>
  <c r="P169" i="13"/>
  <c r="N337" i="13"/>
  <c r="P281" i="13"/>
  <c r="AJ63" i="12"/>
  <c r="N63" i="12"/>
  <c r="O226" i="13"/>
  <c r="P114" i="13"/>
  <c r="O132" i="13"/>
  <c r="O188" i="13"/>
  <c r="O524" i="13" s="1"/>
  <c r="O77" i="13"/>
  <c r="P76" i="13"/>
  <c r="O243" i="13"/>
  <c r="P131" i="13"/>
  <c r="O115" i="13"/>
  <c r="O171" i="13"/>
  <c r="O507" i="13" s="1"/>
  <c r="P59" i="13"/>
  <c r="O60" i="13"/>
  <c r="P697" i="23" l="1"/>
  <c r="P698" i="23" s="1"/>
  <c r="V649" i="23" s="1"/>
  <c r="O808" i="23"/>
  <c r="P808" i="23" s="1"/>
  <c r="P640" i="23"/>
  <c r="O232" i="23"/>
  <c r="P232" i="23" s="1"/>
  <c r="P233" i="23" s="1"/>
  <c r="P120" i="23"/>
  <c r="P121" i="23" s="1"/>
  <c r="N752" i="23"/>
  <c r="P752" i="23" s="1"/>
  <c r="P584" i="23"/>
  <c r="O249" i="23"/>
  <c r="P249" i="23" s="1"/>
  <c r="P250" i="23" s="1"/>
  <c r="P137" i="23"/>
  <c r="P138" i="23" s="1"/>
  <c r="O791" i="23"/>
  <c r="P791" i="23" s="1"/>
  <c r="P623" i="23"/>
  <c r="O641" i="23"/>
  <c r="P193" i="23"/>
  <c r="P194" i="23" s="1"/>
  <c r="O529" i="23"/>
  <c r="P529" i="23" s="1"/>
  <c r="P530" i="23" s="1"/>
  <c r="N585" i="23"/>
  <c r="N735" i="23"/>
  <c r="P735" i="23" s="1"/>
  <c r="P567" i="23"/>
  <c r="O624" i="23"/>
  <c r="O512" i="23"/>
  <c r="P512" i="23" s="1"/>
  <c r="P513" i="23" s="1"/>
  <c r="P176" i="23"/>
  <c r="P177" i="23" s="1"/>
  <c r="N568" i="23"/>
  <c r="N116" i="13"/>
  <c r="O451" i="13"/>
  <c r="O395" i="13"/>
  <c r="N135" i="15"/>
  <c r="P134" i="15"/>
  <c r="N77" i="12"/>
  <c r="N132" i="13"/>
  <c r="N191" i="15"/>
  <c r="P190" i="15"/>
  <c r="O467" i="13"/>
  <c r="P467" i="13" s="1"/>
  <c r="O411" i="13"/>
  <c r="P451" i="13"/>
  <c r="N690" i="13"/>
  <c r="N174" i="15"/>
  <c r="P173" i="15"/>
  <c r="N118" i="15"/>
  <c r="P117" i="15"/>
  <c r="P617" i="13"/>
  <c r="P215" i="13"/>
  <c r="P216" i="13" s="1"/>
  <c r="N607" i="13"/>
  <c r="P607" i="13" s="1"/>
  <c r="N551" i="13"/>
  <c r="N663" i="13"/>
  <c r="P663" i="13" s="1"/>
  <c r="P664" i="13" s="1"/>
  <c r="N495" i="13"/>
  <c r="P495" i="13" s="1"/>
  <c r="P496" i="13" s="1"/>
  <c r="N674" i="13"/>
  <c r="N506" i="13"/>
  <c r="P506" i="13" s="1"/>
  <c r="N562" i="13"/>
  <c r="N618" i="13"/>
  <c r="O338" i="13"/>
  <c r="O618" i="13" s="1"/>
  <c r="O730" i="13"/>
  <c r="O674" i="13"/>
  <c r="O562" i="13"/>
  <c r="O355" i="13"/>
  <c r="O635" i="13" s="1"/>
  <c r="O747" i="13"/>
  <c r="O691" i="13"/>
  <c r="O579" i="13"/>
  <c r="N746" i="13"/>
  <c r="P746" i="13" s="1"/>
  <c r="P578" i="13"/>
  <c r="N729" i="13"/>
  <c r="P729" i="13" s="1"/>
  <c r="P561" i="13"/>
  <c r="P608" i="13"/>
  <c r="P673" i="13"/>
  <c r="P690" i="13"/>
  <c r="N635" i="13"/>
  <c r="N579" i="13"/>
  <c r="N691" i="13"/>
  <c r="N523" i="13"/>
  <c r="P523" i="13" s="1"/>
  <c r="N718" i="13"/>
  <c r="P718" i="13" s="1"/>
  <c r="P550" i="13"/>
  <c r="P634" i="13"/>
  <c r="O79" i="15"/>
  <c r="O135" i="15" s="1"/>
  <c r="P78" i="15"/>
  <c r="O62" i="15"/>
  <c r="O118" i="15" s="1"/>
  <c r="P61" i="15"/>
  <c r="AJ77" i="12"/>
  <c r="AL76" i="12"/>
  <c r="AL59" i="12"/>
  <c r="N227" i="13"/>
  <c r="N283" i="13"/>
  <c r="AK60" i="12"/>
  <c r="P243" i="13"/>
  <c r="P337" i="13"/>
  <c r="N393" i="13"/>
  <c r="P393" i="13" s="1"/>
  <c r="N300" i="13"/>
  <c r="N244" i="13"/>
  <c r="AK77" i="12"/>
  <c r="P354" i="13"/>
  <c r="N410" i="13"/>
  <c r="P410" i="13" s="1"/>
  <c r="P170" i="13"/>
  <c r="N78" i="13"/>
  <c r="N469" i="13"/>
  <c r="O301" i="13"/>
  <c r="N171" i="13"/>
  <c r="O60" i="12"/>
  <c r="P59" i="12"/>
  <c r="N355" i="13"/>
  <c r="P299" i="13"/>
  <c r="N188" i="13"/>
  <c r="O77" i="12"/>
  <c r="P76" i="12"/>
  <c r="N327" i="13"/>
  <c r="P271" i="13"/>
  <c r="P272" i="13" s="1"/>
  <c r="P326" i="13"/>
  <c r="N382" i="13"/>
  <c r="P382" i="13" s="1"/>
  <c r="N338" i="13"/>
  <c r="P282" i="13"/>
  <c r="O284" i="13"/>
  <c r="N452" i="13"/>
  <c r="N61" i="13"/>
  <c r="P226" i="13"/>
  <c r="Y78" i="12"/>
  <c r="AA77" i="12"/>
  <c r="AA60" i="12"/>
  <c r="Y61" i="12"/>
  <c r="P187" i="13"/>
  <c r="N64" i="12"/>
  <c r="AJ64" i="12"/>
  <c r="O227" i="13"/>
  <c r="P115" i="13"/>
  <c r="O189" i="13"/>
  <c r="O525" i="13" s="1"/>
  <c r="O78" i="13"/>
  <c r="P77" i="13"/>
  <c r="O133" i="13"/>
  <c r="O244" i="13"/>
  <c r="P132" i="13"/>
  <c r="O116" i="13"/>
  <c r="P60" i="13"/>
  <c r="O172" i="13"/>
  <c r="O508" i="13" s="1"/>
  <c r="O61" i="13"/>
  <c r="V481" i="23" l="1"/>
  <c r="O809" i="23"/>
  <c r="P809" i="23" s="1"/>
  <c r="P810" i="23" s="1"/>
  <c r="P641" i="23"/>
  <c r="P642" i="23" s="1"/>
  <c r="O792" i="23"/>
  <c r="P792" i="23" s="1"/>
  <c r="P793" i="23" s="1"/>
  <c r="P624" i="23"/>
  <c r="P625" i="23" s="1"/>
  <c r="N753" i="23"/>
  <c r="P753" i="23" s="1"/>
  <c r="P754" i="23" s="1"/>
  <c r="P585" i="23"/>
  <c r="P586" i="23" s="1"/>
  <c r="V201" i="23"/>
  <c r="N736" i="23"/>
  <c r="P736" i="23" s="1"/>
  <c r="P737" i="23" s="1"/>
  <c r="P568" i="23"/>
  <c r="P569" i="23" s="1"/>
  <c r="N136" i="15"/>
  <c r="P135" i="15"/>
  <c r="N175" i="15"/>
  <c r="P174" i="15"/>
  <c r="O468" i="13"/>
  <c r="P468" i="13" s="1"/>
  <c r="O412" i="13"/>
  <c r="N192" i="15"/>
  <c r="P191" i="15"/>
  <c r="N119" i="15"/>
  <c r="P118" i="15"/>
  <c r="N133" i="13"/>
  <c r="N78" i="12"/>
  <c r="N117" i="13"/>
  <c r="O452" i="13"/>
  <c r="P452" i="13" s="1"/>
  <c r="O396" i="13"/>
  <c r="P691" i="13"/>
  <c r="O356" i="13"/>
  <c r="O636" i="13" s="1"/>
  <c r="O748" i="13"/>
  <c r="O692" i="13"/>
  <c r="O580" i="13"/>
  <c r="O339" i="13"/>
  <c r="O619" i="13" s="1"/>
  <c r="O731" i="13"/>
  <c r="O675" i="13"/>
  <c r="O563" i="13"/>
  <c r="N692" i="13"/>
  <c r="N524" i="13"/>
  <c r="P524" i="13" s="1"/>
  <c r="N580" i="13"/>
  <c r="N748" i="13" s="1"/>
  <c r="N636" i="13"/>
  <c r="P551" i="13"/>
  <c r="P552" i="13" s="1"/>
  <c r="N719" i="13"/>
  <c r="P719" i="13" s="1"/>
  <c r="P720" i="13" s="1"/>
  <c r="P635" i="13"/>
  <c r="P618" i="13"/>
  <c r="N619" i="13"/>
  <c r="P619" i="13" s="1"/>
  <c r="N563" i="13"/>
  <c r="N731" i="13" s="1"/>
  <c r="P731" i="13" s="1"/>
  <c r="N675" i="13"/>
  <c r="N507" i="13"/>
  <c r="P507" i="13" s="1"/>
  <c r="N747" i="13"/>
  <c r="P747" i="13" s="1"/>
  <c r="P579" i="13"/>
  <c r="N730" i="13"/>
  <c r="P730" i="13" s="1"/>
  <c r="P562" i="13"/>
  <c r="P674" i="13"/>
  <c r="O63" i="15"/>
  <c r="O119" i="15" s="1"/>
  <c r="P62" i="15"/>
  <c r="O80" i="15"/>
  <c r="O136" i="15" s="1"/>
  <c r="P79" i="15"/>
  <c r="O285" i="13"/>
  <c r="N62" i="13"/>
  <c r="N453" i="13"/>
  <c r="N411" i="13"/>
  <c r="P411" i="13" s="1"/>
  <c r="P355" i="13"/>
  <c r="Y62" i="12"/>
  <c r="AA61" i="12"/>
  <c r="P327" i="13"/>
  <c r="P328" i="13" s="1"/>
  <c r="N383" i="13"/>
  <c r="P383" i="13" s="1"/>
  <c r="P384" i="13" s="1"/>
  <c r="AL60" i="12"/>
  <c r="N284" i="13"/>
  <c r="AK61" i="12"/>
  <c r="N228" i="13"/>
  <c r="P227" i="13"/>
  <c r="N172" i="13"/>
  <c r="O61" i="12"/>
  <c r="P60" i="12"/>
  <c r="N301" i="13"/>
  <c r="AK78" i="12"/>
  <c r="N245" i="13"/>
  <c r="N339" i="13"/>
  <c r="P283" i="13"/>
  <c r="N394" i="13"/>
  <c r="P394" i="13" s="1"/>
  <c r="P338" i="13"/>
  <c r="N189" i="13"/>
  <c r="O78" i="12"/>
  <c r="P77" i="12"/>
  <c r="P244" i="13"/>
  <c r="AA78" i="12"/>
  <c r="Y79" i="12"/>
  <c r="N356" i="13"/>
  <c r="P300" i="13"/>
  <c r="P171" i="13"/>
  <c r="P188" i="13"/>
  <c r="N79" i="13"/>
  <c r="N470" i="13"/>
  <c r="O302" i="13"/>
  <c r="AJ78" i="12"/>
  <c r="AL77" i="12"/>
  <c r="O245" i="13"/>
  <c r="P133" i="13"/>
  <c r="O117" i="13"/>
  <c r="O173" i="13"/>
  <c r="O509" i="13" s="1"/>
  <c r="O62" i="13"/>
  <c r="P61" i="13"/>
  <c r="O190" i="13"/>
  <c r="O526" i="13" s="1"/>
  <c r="O134" i="13"/>
  <c r="O79" i="13"/>
  <c r="P78" i="13"/>
  <c r="O228" i="13"/>
  <c r="P228" i="13" s="1"/>
  <c r="P116" i="13"/>
  <c r="V705" i="23" l="1"/>
  <c r="V593" i="23"/>
  <c r="V761" i="23"/>
  <c r="V537" i="23"/>
  <c r="P177" i="15"/>
  <c r="P692" i="13"/>
  <c r="P636" i="13"/>
  <c r="O453" i="13"/>
  <c r="P453" i="13" s="1"/>
  <c r="O397" i="13"/>
  <c r="N118" i="13"/>
  <c r="N120" i="15"/>
  <c r="P119" i="15"/>
  <c r="N79" i="12"/>
  <c r="N134" i="13"/>
  <c r="O469" i="13"/>
  <c r="P469" i="13" s="1"/>
  <c r="O413" i="13"/>
  <c r="N137" i="15"/>
  <c r="P136" i="15"/>
  <c r="N193" i="15"/>
  <c r="P193" i="15" s="1"/>
  <c r="P192" i="15"/>
  <c r="P194" i="15" s="1"/>
  <c r="P175" i="15"/>
  <c r="N176" i="15"/>
  <c r="P176" i="15" s="1"/>
  <c r="P245" i="13"/>
  <c r="O357" i="13"/>
  <c r="O637" i="13" s="1"/>
  <c r="O749" i="13"/>
  <c r="O693" i="13"/>
  <c r="O581" i="13"/>
  <c r="N693" i="13"/>
  <c r="P693" i="13" s="1"/>
  <c r="N525" i="13"/>
  <c r="P525" i="13" s="1"/>
  <c r="N637" i="13"/>
  <c r="N581" i="13"/>
  <c r="P563" i="13"/>
  <c r="P580" i="13"/>
  <c r="P748" i="13"/>
  <c r="O340" i="13"/>
  <c r="O620" i="13" s="1"/>
  <c r="O732" i="13"/>
  <c r="O676" i="13"/>
  <c r="O564" i="13"/>
  <c r="N564" i="13"/>
  <c r="N732" i="13" s="1"/>
  <c r="N620" i="13"/>
  <c r="N676" i="13"/>
  <c r="P676" i="13" s="1"/>
  <c r="N508" i="13"/>
  <c r="P508" i="13" s="1"/>
  <c r="P675" i="13"/>
  <c r="O81" i="15"/>
  <c r="P80" i="15"/>
  <c r="O64" i="15"/>
  <c r="P63" i="15"/>
  <c r="N190" i="13"/>
  <c r="P190" i="13" s="1"/>
  <c r="O79" i="12"/>
  <c r="P78" i="12"/>
  <c r="AL61" i="12"/>
  <c r="AK62" i="12"/>
  <c r="N229" i="13"/>
  <c r="N285" i="13"/>
  <c r="N357" i="13"/>
  <c r="P301" i="13"/>
  <c r="N340" i="13"/>
  <c r="P284" i="13"/>
  <c r="P189" i="13"/>
  <c r="AJ79" i="12"/>
  <c r="AL78" i="12"/>
  <c r="N412" i="13"/>
  <c r="P412" i="13" s="1"/>
  <c r="P356" i="13"/>
  <c r="N173" i="13"/>
  <c r="O62" i="12"/>
  <c r="P61" i="12"/>
  <c r="N302" i="13"/>
  <c r="N246" i="13"/>
  <c r="AK79" i="12"/>
  <c r="AA79" i="12"/>
  <c r="Y80" i="12"/>
  <c r="O286" i="13"/>
  <c r="N454" i="13"/>
  <c r="N63" i="13"/>
  <c r="O303" i="13"/>
  <c r="N471" i="13"/>
  <c r="N80" i="13"/>
  <c r="P339" i="13"/>
  <c r="N395" i="13"/>
  <c r="P395" i="13" s="1"/>
  <c r="P172" i="13"/>
  <c r="AA62" i="12"/>
  <c r="Y63" i="12"/>
  <c r="O229" i="13"/>
  <c r="P229" i="13" s="1"/>
  <c r="P117" i="13"/>
  <c r="O174" i="13"/>
  <c r="O510" i="13" s="1"/>
  <c r="P62" i="13"/>
  <c r="O118" i="13"/>
  <c r="O63" i="13"/>
  <c r="O246" i="13"/>
  <c r="P134" i="13"/>
  <c r="O191" i="13"/>
  <c r="O527" i="13" s="1"/>
  <c r="O135" i="13"/>
  <c r="O80" i="13"/>
  <c r="P79" i="13"/>
  <c r="O414" i="13" l="1"/>
  <c r="O470" i="13"/>
  <c r="P470" i="13" s="1"/>
  <c r="P64" i="15"/>
  <c r="O120" i="15"/>
  <c r="P120" i="15" s="1"/>
  <c r="P121" i="15" s="1"/>
  <c r="P637" i="13"/>
  <c r="N80" i="12"/>
  <c r="N135" i="13"/>
  <c r="N119" i="13"/>
  <c r="O398" i="13"/>
  <c r="O454" i="13"/>
  <c r="P81" i="15"/>
  <c r="O137" i="15"/>
  <c r="P137" i="15" s="1"/>
  <c r="P138" i="15" s="1"/>
  <c r="P454" i="13"/>
  <c r="P246" i="13"/>
  <c r="P732" i="13"/>
  <c r="N694" i="13"/>
  <c r="N526" i="13"/>
  <c r="P526" i="13" s="1"/>
  <c r="N582" i="13"/>
  <c r="N638" i="13"/>
  <c r="N621" i="13"/>
  <c r="N565" i="13"/>
  <c r="N677" i="13"/>
  <c r="N509" i="13"/>
  <c r="P509" i="13" s="1"/>
  <c r="P620" i="13"/>
  <c r="P564" i="13"/>
  <c r="O341" i="13"/>
  <c r="O621" i="13" s="1"/>
  <c r="O733" i="13"/>
  <c r="O677" i="13"/>
  <c r="O565" i="13"/>
  <c r="O358" i="13"/>
  <c r="O638" i="13" s="1"/>
  <c r="O750" i="13"/>
  <c r="O694" i="13"/>
  <c r="O582" i="13"/>
  <c r="N749" i="13"/>
  <c r="P749" i="13" s="1"/>
  <c r="P581" i="13"/>
  <c r="P65" i="15"/>
  <c r="P82" i="15"/>
  <c r="N358" i="13"/>
  <c r="P302" i="13"/>
  <c r="N341" i="13"/>
  <c r="P285" i="13"/>
  <c r="AA63" i="12"/>
  <c r="Y64" i="12"/>
  <c r="AA64" i="12" s="1"/>
  <c r="AL62" i="12"/>
  <c r="N286" i="13"/>
  <c r="AK63" i="12"/>
  <c r="N230" i="13"/>
  <c r="AJ80" i="12"/>
  <c r="AL79" i="12"/>
  <c r="N64" i="13"/>
  <c r="O287" i="13"/>
  <c r="N455" i="13"/>
  <c r="P173" i="13"/>
  <c r="N174" i="13"/>
  <c r="O63" i="12"/>
  <c r="P62" i="12"/>
  <c r="Y81" i="12"/>
  <c r="AA81" i="12" s="1"/>
  <c r="AA82" i="12" s="1"/>
  <c r="AA80" i="12"/>
  <c r="P340" i="13"/>
  <c r="N396" i="13"/>
  <c r="P396" i="13" s="1"/>
  <c r="N191" i="13"/>
  <c r="O80" i="12"/>
  <c r="P79" i="12"/>
  <c r="N472" i="13"/>
  <c r="O304" i="13"/>
  <c r="N81" i="13"/>
  <c r="AK80" i="12"/>
  <c r="N247" i="13"/>
  <c r="N303" i="13"/>
  <c r="N413" i="13"/>
  <c r="P413" i="13" s="1"/>
  <c r="P357" i="13"/>
  <c r="O230" i="13"/>
  <c r="P118" i="13"/>
  <c r="P135" i="13"/>
  <c r="O247" i="13"/>
  <c r="P247" i="13" s="1"/>
  <c r="O175" i="13"/>
  <c r="O511" i="13" s="1"/>
  <c r="P63" i="13"/>
  <c r="O119" i="13"/>
  <c r="O64" i="13"/>
  <c r="O192" i="13"/>
  <c r="O528" i="13" s="1"/>
  <c r="O81" i="13"/>
  <c r="P80" i="13"/>
  <c r="O136" i="13"/>
  <c r="N120" i="13" l="1"/>
  <c r="O399" i="13"/>
  <c r="O455" i="13"/>
  <c r="P455" i="13"/>
  <c r="AA65" i="12"/>
  <c r="O415" i="13"/>
  <c r="O471" i="13"/>
  <c r="P471" i="13" s="1"/>
  <c r="N136" i="13"/>
  <c r="N81" i="12"/>
  <c r="N137" i="13" s="1"/>
  <c r="P621" i="13"/>
  <c r="P694" i="13"/>
  <c r="N566" i="13"/>
  <c r="N622" i="13"/>
  <c r="N678" i="13"/>
  <c r="N510" i="13"/>
  <c r="P510" i="13" s="1"/>
  <c r="N695" i="13"/>
  <c r="N527" i="13"/>
  <c r="P527" i="13" s="1"/>
  <c r="N583" i="13"/>
  <c r="O342" i="13"/>
  <c r="O622" i="13" s="1"/>
  <c r="O734" i="13"/>
  <c r="O678" i="13"/>
  <c r="O566" i="13"/>
  <c r="N733" i="13"/>
  <c r="P733" i="13" s="1"/>
  <c r="P565" i="13"/>
  <c r="P677" i="13"/>
  <c r="P638" i="13"/>
  <c r="O359" i="13"/>
  <c r="O639" i="13" s="1"/>
  <c r="O751" i="13"/>
  <c r="O695" i="13"/>
  <c r="O583" i="13"/>
  <c r="P582" i="13"/>
  <c r="N750" i="13"/>
  <c r="P750" i="13" s="1"/>
  <c r="N456" i="13"/>
  <c r="O288" i="13"/>
  <c r="N192" i="13"/>
  <c r="P192" i="13" s="1"/>
  <c r="O81" i="12"/>
  <c r="P80" i="12"/>
  <c r="N175" i="13"/>
  <c r="O64" i="12"/>
  <c r="P63" i="12"/>
  <c r="AJ81" i="12"/>
  <c r="AL80" i="12"/>
  <c r="N359" i="13"/>
  <c r="P303" i="13"/>
  <c r="P191" i="13"/>
  <c r="N397" i="13"/>
  <c r="P397" i="13" s="1"/>
  <c r="P341" i="13"/>
  <c r="P174" i="13"/>
  <c r="N304" i="13"/>
  <c r="N248" i="13"/>
  <c r="AK81" i="12"/>
  <c r="AL63" i="12"/>
  <c r="N231" i="13"/>
  <c r="N287" i="13"/>
  <c r="AK64" i="12"/>
  <c r="P358" i="13"/>
  <c r="N414" i="13"/>
  <c r="P414" i="13" s="1"/>
  <c r="P230" i="13"/>
  <c r="N473" i="13"/>
  <c r="O305" i="13"/>
  <c r="N342" i="13"/>
  <c r="P286" i="13"/>
  <c r="O176" i="13"/>
  <c r="O512" i="13" s="1"/>
  <c r="O120" i="13"/>
  <c r="P64" i="13"/>
  <c r="P65" i="13" s="1"/>
  <c r="O231" i="13"/>
  <c r="P119" i="13"/>
  <c r="O137" i="13"/>
  <c r="O193" i="13"/>
  <c r="O529" i="13" s="1"/>
  <c r="P81" i="13"/>
  <c r="P82" i="13" s="1"/>
  <c r="O248" i="13"/>
  <c r="P248" i="13" s="1"/>
  <c r="O416" i="13" l="1"/>
  <c r="O472" i="13"/>
  <c r="P472" i="13" s="1"/>
  <c r="O400" i="13"/>
  <c r="O456" i="13"/>
  <c r="P456" i="13"/>
  <c r="P457" i="13" s="1"/>
  <c r="P136" i="13"/>
  <c r="N639" i="13"/>
  <c r="P639" i="13" s="1"/>
  <c r="O473" i="13"/>
  <c r="P473" i="13" s="1"/>
  <c r="P474" i="13" s="1"/>
  <c r="O417" i="13"/>
  <c r="P231" i="13"/>
  <c r="N584" i="13"/>
  <c r="N640" i="13"/>
  <c r="N696" i="13"/>
  <c r="N528" i="13"/>
  <c r="P528" i="13" s="1"/>
  <c r="O343" i="13"/>
  <c r="O623" i="13" s="1"/>
  <c r="O735" i="13"/>
  <c r="O679" i="13"/>
  <c r="O567" i="13"/>
  <c r="N751" i="13"/>
  <c r="P751" i="13" s="1"/>
  <c r="P583" i="13"/>
  <c r="P175" i="13"/>
  <c r="P622" i="13"/>
  <c r="N623" i="13"/>
  <c r="P623" i="13" s="1"/>
  <c r="N567" i="13"/>
  <c r="N679" i="13"/>
  <c r="P679" i="13" s="1"/>
  <c r="N511" i="13"/>
  <c r="P511" i="13" s="1"/>
  <c r="O360" i="13"/>
  <c r="O640" i="13" s="1"/>
  <c r="O752" i="13"/>
  <c r="O696" i="13"/>
  <c r="O584" i="13"/>
  <c r="P566" i="13"/>
  <c r="N734" i="13"/>
  <c r="P734" i="13" s="1"/>
  <c r="AL81" i="12"/>
  <c r="P695" i="13"/>
  <c r="P678" i="13"/>
  <c r="N249" i="13"/>
  <c r="N305" i="13"/>
  <c r="N193" i="13"/>
  <c r="P81" i="12"/>
  <c r="P82" i="12" s="1"/>
  <c r="P304" i="13"/>
  <c r="N360" i="13"/>
  <c r="P359" i="13"/>
  <c r="N415" i="13"/>
  <c r="P415" i="13" s="1"/>
  <c r="AL82" i="12"/>
  <c r="V33" i="13"/>
  <c r="AL64" i="12"/>
  <c r="AL65" i="12" s="1"/>
  <c r="N288" i="13"/>
  <c r="N232" i="13"/>
  <c r="N398" i="13"/>
  <c r="P398" i="13" s="1"/>
  <c r="P342" i="13"/>
  <c r="N343" i="13"/>
  <c r="P287" i="13"/>
  <c r="N176" i="13"/>
  <c r="P64" i="12"/>
  <c r="P65" i="12" s="1"/>
  <c r="O232" i="13"/>
  <c r="P120" i="13"/>
  <c r="P121" i="13" s="1"/>
  <c r="P137" i="13"/>
  <c r="P138" i="13" s="1"/>
  <c r="O249" i="13"/>
  <c r="P232" i="13" l="1"/>
  <c r="P233" i="13" s="1"/>
  <c r="P640" i="13"/>
  <c r="O344" i="13"/>
  <c r="O624" i="13" s="1"/>
  <c r="O736" i="13"/>
  <c r="O680" i="13"/>
  <c r="O568" i="13"/>
  <c r="N680" i="13"/>
  <c r="N512" i="13"/>
  <c r="P512" i="13" s="1"/>
  <c r="P513" i="13" s="1"/>
  <c r="N568" i="13"/>
  <c r="N624" i="13"/>
  <c r="P624" i="13" s="1"/>
  <c r="P625" i="13" s="1"/>
  <c r="O361" i="13"/>
  <c r="O641" i="13" s="1"/>
  <c r="O753" i="13"/>
  <c r="O697" i="13"/>
  <c r="O585" i="13"/>
  <c r="N641" i="13"/>
  <c r="P641" i="13" s="1"/>
  <c r="N585" i="13"/>
  <c r="N697" i="13"/>
  <c r="P697" i="13" s="1"/>
  <c r="N529" i="13"/>
  <c r="P529" i="13" s="1"/>
  <c r="P530" i="13" s="1"/>
  <c r="N752" i="13"/>
  <c r="P752" i="13" s="1"/>
  <c r="P584" i="13"/>
  <c r="P696" i="13"/>
  <c r="P567" i="13"/>
  <c r="N735" i="13"/>
  <c r="P735" i="13" s="1"/>
  <c r="N344" i="13"/>
  <c r="P288" i="13"/>
  <c r="P289" i="13" s="1"/>
  <c r="P193" i="13"/>
  <c r="P194" i="13" s="1"/>
  <c r="N416" i="13"/>
  <c r="P416" i="13" s="1"/>
  <c r="P360" i="13"/>
  <c r="N361" i="13"/>
  <c r="P305" i="13"/>
  <c r="P306" i="13" s="1"/>
  <c r="P249" i="13"/>
  <c r="P250" i="13" s="1"/>
  <c r="N399" i="13"/>
  <c r="P399" i="13" s="1"/>
  <c r="P343" i="13"/>
  <c r="P176" i="13"/>
  <c r="P177" i="13" s="1"/>
  <c r="V89" i="13"/>
  <c r="P680" i="13" l="1"/>
  <c r="P681" i="13" s="1"/>
  <c r="P642" i="13"/>
  <c r="N736" i="13"/>
  <c r="P736" i="13" s="1"/>
  <c r="P737" i="13" s="1"/>
  <c r="P568" i="13"/>
  <c r="P569" i="13" s="1"/>
  <c r="P754" i="13"/>
  <c r="P698" i="13"/>
  <c r="P585" i="13"/>
  <c r="P586" i="13" s="1"/>
  <c r="N753" i="13"/>
  <c r="P753" i="13" s="1"/>
  <c r="P361" i="13"/>
  <c r="P362" i="13" s="1"/>
  <c r="N417" i="13"/>
  <c r="P417" i="13" s="1"/>
  <c r="P418" i="13" s="1"/>
  <c r="N400" i="13"/>
  <c r="P400" i="13" s="1"/>
  <c r="P401" i="13" s="1"/>
  <c r="P344" i="13"/>
  <c r="P345" i="13" s="1"/>
  <c r="V3" i="21" l="1"/>
  <c r="V16" i="21"/>
  <c r="V5" i="21"/>
  <c r="V6" i="21"/>
  <c r="V17" i="21"/>
  <c r="V18" i="21"/>
  <c r="V19" i="21"/>
  <c r="V7" i="21"/>
  <c r="N11" i="21"/>
  <c r="V12" i="21" s="1"/>
  <c r="V10" i="21"/>
  <c r="V23" i="21"/>
  <c r="V22" i="21"/>
  <c r="V4" i="21"/>
  <c r="V21" i="21"/>
  <c r="V8" i="21"/>
  <c r="V20" i="21"/>
  <c r="V9" i="21"/>
  <c r="W9" i="21" l="1"/>
  <c r="V11" i="21"/>
  <c r="N24" i="21"/>
  <c r="V24" i="21" s="1"/>
  <c r="W3" i="21" l="1"/>
  <c r="W7" i="21"/>
  <c r="W10" i="21"/>
  <c r="W5" i="21"/>
  <c r="W6" i="21"/>
  <c r="W4" i="21"/>
  <c r="W8" i="21"/>
</calcChain>
</file>

<file path=xl/sharedStrings.xml><?xml version="1.0" encoding="utf-8"?>
<sst xmlns="http://schemas.openxmlformats.org/spreadsheetml/2006/main" count="5113" uniqueCount="305">
  <si>
    <t>hwz&gt;1/2/stp</t>
  </si>
  <si>
    <t>hwz&gt;1/2</t>
  </si>
  <si>
    <t>Version 5 On-site Aggregate</t>
  </si>
  <si>
    <t>Percentage Difference Version 5 (Losses; ambiguity apparent) and  Version 4 (Losses)</t>
  </si>
  <si>
    <t>Version 5 on-site (Losses; ambiguity made apparent)</t>
  </si>
  <si>
    <t>K-S test Version 5 compared to Version 4</t>
  </si>
  <si>
    <t>c1</t>
  </si>
  <si>
    <t>c1+c2</t>
  </si>
  <si>
    <t>c1+c2+c3</t>
  </si>
  <si>
    <t>c1+c2+c3+c4</t>
  </si>
  <si>
    <t>c1+c2+c3+c4+c5</t>
  </si>
  <si>
    <t>c1+c2+c3+c4+c5+c6</t>
  </si>
  <si>
    <t>c1+c2+c3+c4+c5+c6+c7</t>
  </si>
  <si>
    <t>V4</t>
  </si>
  <si>
    <t>V5</t>
  </si>
  <si>
    <t>maximum diff</t>
  </si>
  <si>
    <t>r1+r2</t>
  </si>
  <si>
    <t>r1+r2+r3</t>
  </si>
  <si>
    <t>r1+r2+r3+r4</t>
  </si>
  <si>
    <t>r1+r2+r3+r4+r5</t>
  </si>
  <si>
    <t>r1+r2+r3+r4+r5+r6</t>
  </si>
  <si>
    <t>r1+r2+r3+r4+r5+r6+r7</t>
  </si>
  <si>
    <t>c1+c2+c3+c4+c5+c6+c7+c8</t>
  </si>
  <si>
    <t>r1+r2+r3+r4+r5+r6+r7+r8</t>
  </si>
  <si>
    <t>d1</t>
  </si>
  <si>
    <t>d1+d2</t>
  </si>
  <si>
    <t>d1+d2+d3</t>
  </si>
  <si>
    <t>d1+d2+d3+d4</t>
  </si>
  <si>
    <t>d1+d2+d3+d4+d5</t>
  </si>
  <si>
    <t>d1+d2+d3+d4+d5+d6</t>
  </si>
  <si>
    <t>d1+d2+d3+d4+d5+d6+d7</t>
  </si>
  <si>
    <t>d1+d2+d3+d4+d5+d6+d7+d8</t>
  </si>
  <si>
    <t>d1 to d9</t>
  </si>
  <si>
    <t>d1 to d10</t>
  </si>
  <si>
    <t>d1 to d11</t>
  </si>
  <si>
    <t>d1 to d12</t>
  </si>
  <si>
    <t>d1 to d13</t>
  </si>
  <si>
    <t>d1 to d14</t>
  </si>
  <si>
    <t>d1 to d15</t>
  </si>
  <si>
    <t xml:space="preserve">difference </t>
  </si>
  <si>
    <t>od1</t>
  </si>
  <si>
    <t>od1 to od2</t>
  </si>
  <si>
    <t>od1 to od3</t>
  </si>
  <si>
    <t>od1 to od 4</t>
  </si>
  <si>
    <t>od1 to od5</t>
  </si>
  <si>
    <t>od1 to od6</t>
  </si>
  <si>
    <t>od1 to od7</t>
  </si>
  <si>
    <t>od1 to od8</t>
  </si>
  <si>
    <t>od1 to od9</t>
  </si>
  <si>
    <t>od1 to od10</t>
  </si>
  <si>
    <t>od1 to od11</t>
  </si>
  <si>
    <t>od1 to od12</t>
  </si>
  <si>
    <t>od1 to od13</t>
  </si>
  <si>
    <t>od1 to od14</t>
  </si>
  <si>
    <t>od1 to od15</t>
  </si>
  <si>
    <t>one-half</t>
  </si>
  <si>
    <t>eleven-twentyfourths</t>
  </si>
  <si>
    <t>five-twelfths</t>
  </si>
  <si>
    <t>Row total</t>
  </si>
  <si>
    <t>three-eights</t>
  </si>
  <si>
    <t>one-third</t>
  </si>
  <si>
    <t>r2 interval is up to</t>
  </si>
  <si>
    <t>two-sevenths</t>
  </si>
  <si>
    <t>two-ninths</t>
  </si>
  <si>
    <t>two-fifteenths</t>
  </si>
  <si>
    <t>column total</t>
  </si>
  <si>
    <t>MXN</t>
  </si>
  <si>
    <t>Criterion</t>
  </si>
  <si>
    <t>#</t>
  </si>
  <si>
    <t>%</t>
  </si>
  <si>
    <t>sq</t>
  </si>
  <si>
    <t>Pop</t>
  </si>
  <si>
    <t>HWZ&lt;1/2</t>
  </si>
  <si>
    <t>SAA</t>
  </si>
  <si>
    <t>WAA</t>
  </si>
  <si>
    <t>STP</t>
  </si>
  <si>
    <t>PIR</t>
  </si>
  <si>
    <t>HWZ/STP</t>
  </si>
  <si>
    <t>SAA/STP</t>
  </si>
  <si>
    <t>WAA/STP</t>
  </si>
  <si>
    <t>STP/PIR</t>
  </si>
  <si>
    <t>POP/STP</t>
  </si>
  <si>
    <t>MXN/STP</t>
  </si>
  <si>
    <t>Version 3 On-site Aggregate</t>
  </si>
  <si>
    <t>Version 2 On-site Aggregate</t>
  </si>
  <si>
    <t>Version 2 On-line Aggregate</t>
  </si>
  <si>
    <t>Version 1 On-site Aggregate</t>
  </si>
  <si>
    <t>Version 1 On-line Aggregate</t>
  </si>
  <si>
    <t>r1 is up to</t>
  </si>
  <si>
    <t>eleven-twentyfifths</t>
  </si>
  <si>
    <t>Row %</t>
  </si>
  <si>
    <t>column %</t>
  </si>
  <si>
    <t>Histogram data</t>
  </si>
  <si>
    <t>r1</t>
  </si>
  <si>
    <t>r2</t>
  </si>
  <si>
    <t>sum</t>
  </si>
  <si>
    <t>r1 &lt; 1/3</t>
  </si>
  <si>
    <t>r2&gt;1/3</t>
  </si>
  <si>
    <t>version 1 On-site</t>
  </si>
  <si>
    <t>version 2 On-site</t>
  </si>
  <si>
    <t>version 3 On-site</t>
  </si>
  <si>
    <t>Criterion incl error</t>
  </si>
  <si>
    <t>Criterion no error</t>
  </si>
  <si>
    <t>Lax</t>
  </si>
  <si>
    <t>Strict</t>
  </si>
  <si>
    <t>version 1 Online</t>
  </si>
  <si>
    <t>version 2 Online</t>
  </si>
  <si>
    <t>version 3 Online</t>
  </si>
  <si>
    <t>Percentages</t>
  </si>
  <si>
    <t>Version 3 On-line Aggregate</t>
  </si>
  <si>
    <t>Version 1 on-site</t>
  </si>
  <si>
    <t>Version 2 on-site</t>
  </si>
  <si>
    <t>Version 3 on-site</t>
  </si>
  <si>
    <t>Version 1 on-line</t>
  </si>
  <si>
    <t>Version 2 on-line</t>
  </si>
  <si>
    <t>Version 3 on-line</t>
  </si>
  <si>
    <t>mxn</t>
  </si>
  <si>
    <t>hwz&lt;1/2</t>
  </si>
  <si>
    <t>saa</t>
  </si>
  <si>
    <t>waa</t>
  </si>
  <si>
    <t>stp</t>
  </si>
  <si>
    <t>n-stp</t>
  </si>
  <si>
    <t>stp/n-stp</t>
  </si>
  <si>
    <t>Version 2 &amp; 3 on-site average</t>
  </si>
  <si>
    <t>POP/PIR</t>
  </si>
  <si>
    <t>POP/n-stp</t>
  </si>
  <si>
    <t>Version 4 On-site Aggregate</t>
  </si>
  <si>
    <t>Percentage Difference Version 4 (Losses) and  Version 3 (on-site)</t>
  </si>
  <si>
    <t>Version 4 on-site (Losses)</t>
  </si>
  <si>
    <t>pop/stp</t>
  </si>
  <si>
    <t>mxn/stp</t>
  </si>
  <si>
    <t>hwz&lt;1/2/stp</t>
  </si>
  <si>
    <t>saa/stp</t>
  </si>
  <si>
    <t>waa/stp</t>
  </si>
  <si>
    <t>HWZ&gt;1/2</t>
  </si>
  <si>
    <t>SAS</t>
  </si>
  <si>
    <t>WAS</t>
  </si>
  <si>
    <t>sas</t>
  </si>
  <si>
    <t>was</t>
  </si>
  <si>
    <t>HWZ&gt;1/2/STP</t>
  </si>
  <si>
    <t>SAS/STP</t>
  </si>
  <si>
    <t>WAS/STP</t>
  </si>
  <si>
    <t>HWZ&lt;1/2/STP</t>
  </si>
  <si>
    <t>sas/stp</t>
  </si>
  <si>
    <t>was/stp</t>
  </si>
  <si>
    <t>sign level</t>
  </si>
  <si>
    <t>k</t>
  </si>
  <si>
    <t>no of subjects</t>
  </si>
  <si>
    <t>version 4</t>
  </si>
  <si>
    <t>version 5</t>
  </si>
  <si>
    <t>formula</t>
  </si>
  <si>
    <t>V3 on site</t>
  </si>
  <si>
    <t>K-S test Version 5 compared to Version 3 on-site</t>
  </si>
  <si>
    <t>K-S statistic formula</t>
  </si>
  <si>
    <t>version 3 on-site</t>
  </si>
  <si>
    <t>K-S Version 1 with Version 2</t>
  </si>
  <si>
    <t>V1 on site</t>
  </si>
  <si>
    <t>V2 on site</t>
  </si>
  <si>
    <t>version 1 on-site</t>
  </si>
  <si>
    <t>version 2 on-site</t>
  </si>
  <si>
    <t>r1 compared to r1</t>
  </si>
  <si>
    <t>r2 compared to r2</t>
  </si>
  <si>
    <t>r1-r2 compared to r1-r2</t>
  </si>
  <si>
    <t>r1+r2 compared to r1+r2</t>
  </si>
  <si>
    <t>Data for r2 figure</t>
  </si>
  <si>
    <t>Version 3</t>
  </si>
  <si>
    <t>Version 4</t>
  </si>
  <si>
    <t>Version 5</t>
  </si>
  <si>
    <t>2/15</t>
  </si>
  <si>
    <t>2/9</t>
  </si>
  <si>
    <t>2/7</t>
  </si>
  <si>
    <t>1/3</t>
  </si>
  <si>
    <t>3/8</t>
  </si>
  <si>
    <t>5/12</t>
  </si>
  <si>
    <t>11/25</t>
  </si>
  <si>
    <t>1/2</t>
  </si>
  <si>
    <t>Total</t>
  </si>
  <si>
    <t>Version 6 On-site Aggregate</t>
  </si>
  <si>
    <t>V6</t>
  </si>
  <si>
    <t>Version 6</t>
  </si>
  <si>
    <t>Percentage Difference Version 6 (gains; ambiguity apparent) and  Version 3 on-site (Gains)</t>
  </si>
  <si>
    <t>K-S test Version 6 compared to Version 3</t>
  </si>
  <si>
    <t>V3</t>
  </si>
  <si>
    <t>version 3</t>
  </si>
  <si>
    <t>Version 6 on-site (Gains; ambiguity made apparent)</t>
  </si>
  <si>
    <t>K-S test Version 6 (Gains, AA) compared to Version 4 (Losses, not A)</t>
  </si>
  <si>
    <t>version 6</t>
  </si>
  <si>
    <t>K-S test Version 6 (Gains, AA) compared to Version 5 (Losses, AA)</t>
  </si>
  <si>
    <t>K-S test Version 6 (Gains, AA) compared to Version 2 (on-site)</t>
  </si>
  <si>
    <t>V2</t>
  </si>
  <si>
    <t>version 2</t>
  </si>
  <si>
    <t>K-S test Version 3 (on-site) compared to Version 2 (on-site)</t>
  </si>
  <si>
    <t>K-S test Version 5 compared to Version 2 (on-site)</t>
  </si>
  <si>
    <t>K-S test Version 4 compared to Version 2 (on-site)</t>
  </si>
  <si>
    <t>K-S test Version 4 compared to Version 3(on-site)</t>
  </si>
  <si>
    <t>v3</t>
  </si>
  <si>
    <t>POP</t>
  </si>
  <si>
    <t>pop</t>
  </si>
  <si>
    <t>mxx</t>
  </si>
  <si>
    <t>mxx/stp</t>
  </si>
  <si>
    <t>MXX</t>
  </si>
  <si>
    <t>MXX/STP</t>
  </si>
  <si>
    <t>K-S r1 compared to r2 (test of stp)</t>
  </si>
  <si>
    <t>r1(columns)</t>
  </si>
  <si>
    <t>r2(rows)</t>
  </si>
  <si>
    <t>1+2</t>
  </si>
  <si>
    <t>1+2+3</t>
  </si>
  <si>
    <t>1+2+3+4</t>
  </si>
  <si>
    <t>1+2+3+4+5</t>
  </si>
  <si>
    <t>1+2+3+4+5+6</t>
  </si>
  <si>
    <t>1+2+3+4+5+6+7</t>
  </si>
  <si>
    <t>1+2+3+4+5+6+7+8</t>
  </si>
  <si>
    <t>Difference</t>
  </si>
  <si>
    <t>K-S r1 compared to 0.5-r2 (test of hwz)</t>
  </si>
  <si>
    <t>r2(rows starting from top)</t>
  </si>
  <si>
    <t>Version 2</t>
  </si>
  <si>
    <t>Max across all K-S tests</t>
  </si>
  <si>
    <t>hwz &lt;1/2</t>
  </si>
  <si>
    <r>
      <t>medium (M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=3-5)</t>
    </r>
  </si>
  <si>
    <t>`</t>
  </si>
  <si>
    <t>K-S test Versions 2&amp;3 (on-site) compared to Version 6</t>
  </si>
  <si>
    <t>V2&amp;3</t>
  </si>
  <si>
    <t>version 2&amp;3</t>
  </si>
  <si>
    <t xml:space="preserve">K-S test Versions 2&amp;3 (on-site)&amp;6 compared to Versions 4&amp;5 </t>
  </si>
  <si>
    <t>V2&amp;3&amp;6</t>
  </si>
  <si>
    <t>V4&amp;5</t>
  </si>
  <si>
    <t>version 2&amp;3&amp;6</t>
  </si>
  <si>
    <t>version 4&amp;5</t>
  </si>
  <si>
    <t>K-S test Versions 2&amp;3&amp;4 compared to Versions 5&amp;6</t>
  </si>
  <si>
    <t>V2&amp;3&amp;4</t>
  </si>
  <si>
    <t>V5&amp;6</t>
  </si>
  <si>
    <t>version 2&amp;3&amp;4</t>
  </si>
  <si>
    <t>verdions 5&amp;6</t>
  </si>
  <si>
    <t>V2&amp;3&amp;4&amp;6</t>
  </si>
  <si>
    <t>K-S test Versions 2&amp;3&amp;4&amp;6 compared to Version 5</t>
  </si>
  <si>
    <t>version 2&amp;3&amp;4&amp;6</t>
  </si>
  <si>
    <t xml:space="preserve">K-S test Versions 2&amp;3&amp;6 compared to Version 5 </t>
  </si>
  <si>
    <t>Consistency class: 3&gt;M (highly consistent; original squares)</t>
  </si>
  <si>
    <t>Consistency class: 6&gt;M&gt;2(moderately consistent; original squares)</t>
  </si>
  <si>
    <t>Low</t>
  </si>
  <si>
    <t>high</t>
  </si>
  <si>
    <t>High</t>
  </si>
  <si>
    <r>
      <t>low (M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&gt;5)</t>
    </r>
  </si>
  <si>
    <r>
      <t>high (M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&lt;3)</t>
    </r>
  </si>
  <si>
    <t>Optimal model parameters</t>
  </si>
  <si>
    <t>1-a (AL deviation)</t>
  </si>
  <si>
    <t>1-d (AA deviation)</t>
  </si>
  <si>
    <t>mu</t>
  </si>
  <si>
    <t>sigma</t>
  </si>
  <si>
    <t>yes</t>
  </si>
  <si>
    <t xml:space="preserve">Fit for a=d? </t>
  </si>
  <si>
    <t>saa/PIR</t>
  </si>
  <si>
    <t>waa/PIR</t>
  </si>
  <si>
    <t>sas/PIR</t>
  </si>
  <si>
    <t>was/PIR</t>
  </si>
  <si>
    <t>GAINS (3&amp;6)</t>
  </si>
  <si>
    <t>LOSSES</t>
  </si>
  <si>
    <t>Infer (3&amp;4)</t>
  </si>
  <si>
    <t>Percentages version 3</t>
  </si>
  <si>
    <t>Percentages version 6</t>
  </si>
  <si>
    <t>Aggregates</t>
  </si>
  <si>
    <t>All losses</t>
  </si>
  <si>
    <t>Weighted Average</t>
  </si>
  <si>
    <t>Fit</t>
  </si>
  <si>
    <r>
      <t>K</t>
    </r>
    <r>
      <rPr>
        <i/>
        <vertAlign val="subscript"/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 xml:space="preserve"> </t>
    </r>
  </si>
  <si>
    <r>
      <t>K</t>
    </r>
    <r>
      <rPr>
        <i/>
        <vertAlign val="subscript"/>
        <sz val="10"/>
        <color rgb="FF000000"/>
        <rFont val="Times New Roman"/>
        <family val="1"/>
      </rPr>
      <t>II</t>
    </r>
    <r>
      <rPr>
        <i/>
        <sz val="10"/>
        <color rgb="FF000000"/>
        <rFont val="Times New Roman"/>
        <family val="1"/>
      </rPr>
      <t xml:space="preserve"> </t>
    </r>
  </si>
  <si>
    <t>K-S test Versions 3&amp;4 compared to Versions 5&amp;6</t>
  </si>
  <si>
    <t>V3&amp;4</t>
  </si>
  <si>
    <t>version 3&amp;4</t>
  </si>
  <si>
    <t>stp (incl. PIR)</t>
  </si>
  <si>
    <t>ROW</t>
  </si>
  <si>
    <t>Inconsistency</t>
  </si>
  <si>
    <t xml:space="preserve">low </t>
  </si>
  <si>
    <t>moderate</t>
  </si>
  <si>
    <t>Version 4 On-site Aggregate students</t>
  </si>
  <si>
    <t>K-S test Version 5 students only compared to Version 4 students only</t>
  </si>
  <si>
    <t>K-S test Version 5 students only compared to Version 3 on-site students only</t>
  </si>
  <si>
    <t>Version 3 GI students only</t>
  </si>
  <si>
    <t>version 5 students</t>
  </si>
  <si>
    <t>K-S test Version 6 students compared to Version 3 students</t>
  </si>
  <si>
    <t>K-S test Version 6 students only compared to Version 4 students only</t>
  </si>
  <si>
    <t>K-S test Version 6  students only ompared to Version 5 students only</t>
  </si>
  <si>
    <t>K-S test Version 4 students only compared to Version 3 on-site students only</t>
  </si>
  <si>
    <t>K-S test Gain students only compared to Loss students only</t>
  </si>
  <si>
    <t>Gain</t>
  </si>
  <si>
    <t>Loss</t>
  </si>
  <si>
    <t>V6 students</t>
  </si>
  <si>
    <t>K-S test Implicit students only compared to Explicit students only</t>
  </si>
  <si>
    <t>Explicit</t>
  </si>
  <si>
    <t>Implicit</t>
  </si>
  <si>
    <t>All gains students only (versions 3 and 6)</t>
  </si>
  <si>
    <t>All Losses (versions 4 and 5) students only</t>
  </si>
  <si>
    <t>Max across three key K-S tests</t>
  </si>
  <si>
    <t>Max across all three key K-S tests</t>
  </si>
  <si>
    <t>max across 3 key K-S tests</t>
  </si>
  <si>
    <t>Max across three key  K-S tests</t>
  </si>
  <si>
    <t>K-S Version 1 with Version 3</t>
  </si>
  <si>
    <t>Consistency class: M&gt;5 (high inconsistency; original squares)</t>
  </si>
  <si>
    <t>K-S test Mn&gt;5 compared with 2&lt;Mn&lt;6</t>
  </si>
  <si>
    <t>Mn&gt;5</t>
  </si>
  <si>
    <t>2&lt;Mn&lt;6</t>
  </si>
  <si>
    <t>Moderate</t>
  </si>
  <si>
    <t>K-S test High inconsistency (Mn&gt;5) compared with low inconsistency (Mn&lt;3)</t>
  </si>
  <si>
    <t>K-S test Moderate inconsistency compared with low inconsistency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</si>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</sst>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0.00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vertAlign val="subscript"/>
      <sz val="10"/>
      <color rgb="FF000000"/>
      <name val="Times New Roman"/>
      <family val="1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</cellStyleXfs>
  <cellXfs count="93">
    <xf numFmtId="0" fontId="0" fillId="0" borderId="0" xfId="0"/>
    <xf numFmtId="0" fontId="2" fillId="0" borderId="0" xfId="0" applyFont="1"/>
    <xf numFmtId="20" fontId="0" fillId="0" borderId="0" xfId="0" applyNumberFormat="1"/>
    <xf numFmtId="17" fontId="0" fillId="0" borderId="0" xfId="0" applyNumberFormat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0" fillId="0" borderId="0" xfId="0" applyFill="1"/>
    <xf numFmtId="0" fontId="2" fillId="0" borderId="0" xfId="0" applyFont="1" applyFill="1"/>
    <xf numFmtId="9" fontId="1" fillId="0" borderId="0" xfId="2" applyFont="1"/>
    <xf numFmtId="165" fontId="0" fillId="0" borderId="0" xfId="0" applyNumberFormat="1"/>
    <xf numFmtId="9" fontId="0" fillId="0" borderId="0" xfId="0" applyNumberFormat="1"/>
    <xf numFmtId="9" fontId="1" fillId="2" borderId="0" xfId="2" applyFont="1" applyFill="1"/>
    <xf numFmtId="9" fontId="1" fillId="3" borderId="0" xfId="2" applyFont="1" applyFill="1"/>
    <xf numFmtId="9" fontId="1" fillId="0" borderId="0" xfId="2" applyFont="1" applyFill="1"/>
    <xf numFmtId="13" fontId="0" fillId="3" borderId="0" xfId="0" applyNumberFormat="1" applyFill="1"/>
    <xf numFmtId="13" fontId="0" fillId="0" borderId="0" xfId="0" applyNumberFormat="1" applyFill="1"/>
    <xf numFmtId="9" fontId="0" fillId="3" borderId="0" xfId="0" applyNumberFormat="1" applyFill="1"/>
    <xf numFmtId="9" fontId="0" fillId="0" borderId="0" xfId="0" applyNumberFormat="1" applyFill="1"/>
    <xf numFmtId="9" fontId="0" fillId="2" borderId="0" xfId="0" applyNumberFormat="1" applyFill="1"/>
    <xf numFmtId="9" fontId="1" fillId="0" borderId="0" xfId="2" applyNumberFormat="1" applyFont="1"/>
    <xf numFmtId="9" fontId="1" fillId="3" borderId="0" xfId="2" applyNumberFormat="1" applyFont="1" applyFill="1"/>
    <xf numFmtId="9" fontId="1" fillId="4" borderId="0" xfId="2" applyFont="1" applyFill="1"/>
    <xf numFmtId="9" fontId="1" fillId="5" borderId="0" xfId="2" applyFont="1" applyFill="1"/>
    <xf numFmtId="1" fontId="1" fillId="0" borderId="0" xfId="2" applyNumberFormat="1" applyFont="1"/>
    <xf numFmtId="1" fontId="1" fillId="2" borderId="0" xfId="2" applyNumberFormat="1" applyFont="1" applyFill="1"/>
    <xf numFmtId="1" fontId="1" fillId="3" borderId="0" xfId="2" applyNumberFormat="1" applyFont="1" applyFill="1"/>
    <xf numFmtId="1" fontId="1" fillId="0" borderId="0" xfId="2" applyNumberFormat="1" applyFont="1" applyFill="1"/>
    <xf numFmtId="165" fontId="1" fillId="0" borderId="0" xfId="2" applyNumberFormat="1" applyFont="1"/>
    <xf numFmtId="165" fontId="1" fillId="3" borderId="0" xfId="2" applyNumberFormat="1" applyFont="1" applyFill="1"/>
    <xf numFmtId="165" fontId="0" fillId="2" borderId="0" xfId="0" applyNumberFormat="1" applyFill="1"/>
    <xf numFmtId="165" fontId="1" fillId="2" borderId="0" xfId="2" applyNumberFormat="1" applyFont="1" applyFill="1"/>
    <xf numFmtId="9" fontId="3" fillId="0" borderId="0" xfId="2" applyFont="1"/>
    <xf numFmtId="165" fontId="0" fillId="3" borderId="0" xfId="0" applyNumberFormat="1" applyFill="1"/>
    <xf numFmtId="49" fontId="0" fillId="0" borderId="0" xfId="0" applyNumberFormat="1"/>
    <xf numFmtId="166" fontId="0" fillId="0" borderId="0" xfId="0" applyNumberFormat="1"/>
    <xf numFmtId="1" fontId="0" fillId="0" borderId="0" xfId="0" applyNumberFormat="1"/>
    <xf numFmtId="49" fontId="4" fillId="0" borderId="0" xfId="0" applyNumberFormat="1" applyFont="1"/>
    <xf numFmtId="1" fontId="1" fillId="0" borderId="0" xfId="1" applyNumberFormat="1" applyFont="1"/>
    <xf numFmtId="9" fontId="1" fillId="2" borderId="0" xfId="2" applyNumberFormat="1" applyFont="1" applyFill="1"/>
    <xf numFmtId="9" fontId="0" fillId="2" borderId="0" xfId="2" applyNumberFormat="1" applyFont="1" applyFill="1"/>
    <xf numFmtId="0" fontId="4" fillId="0" borderId="0" xfId="0" applyFont="1"/>
    <xf numFmtId="166" fontId="5" fillId="6" borderId="0" xfId="0" applyNumberFormat="1" applyFont="1" applyFill="1"/>
    <xf numFmtId="166" fontId="6" fillId="0" borderId="0" xfId="0" applyNumberFormat="1" applyFont="1" applyFill="1"/>
    <xf numFmtId="0" fontId="0" fillId="0" borderId="0" xfId="0" applyAlignment="1">
      <alignment horizontal="right"/>
    </xf>
    <xf numFmtId="0" fontId="0" fillId="7" borderId="0" xfId="0" applyFill="1"/>
    <xf numFmtId="0" fontId="0" fillId="6" borderId="0" xfId="0" applyFill="1"/>
    <xf numFmtId="9" fontId="0" fillId="0" borderId="0" xfId="2" applyFont="1"/>
    <xf numFmtId="9" fontId="0" fillId="6" borderId="0" xfId="2" applyFont="1" applyFill="1"/>
    <xf numFmtId="9" fontId="0" fillId="7" borderId="0" xfId="2" applyFont="1" applyFill="1"/>
    <xf numFmtId="166" fontId="0" fillId="8" borderId="0" xfId="0" applyNumberFormat="1" applyFill="1"/>
    <xf numFmtId="166" fontId="0" fillId="9" borderId="0" xfId="0" applyNumberFormat="1" applyFill="1"/>
    <xf numFmtId="165" fontId="1" fillId="4" borderId="0" xfId="2" applyNumberFormat="1" applyFont="1" applyFill="1"/>
    <xf numFmtId="165" fontId="1" fillId="0" borderId="0" xfId="2" applyNumberFormat="1" applyFont="1" applyFill="1"/>
    <xf numFmtId="165" fontId="0" fillId="0" borderId="0" xfId="0" applyNumberFormat="1" applyFill="1"/>
    <xf numFmtId="165" fontId="3" fillId="0" borderId="0" xfId="2" applyNumberFormat="1" applyFont="1"/>
    <xf numFmtId="9" fontId="0" fillId="0" borderId="0" xfId="2" applyFont="1" applyFill="1"/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167" fontId="0" fillId="0" borderId="0" xfId="0" applyNumberFormat="1"/>
    <xf numFmtId="0" fontId="11" fillId="0" borderId="0" xfId="0" applyFont="1" applyAlignment="1">
      <alignment horizontal="left" wrapText="1" indent="1"/>
    </xf>
    <xf numFmtId="0" fontId="10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left" wrapText="1" indent="1"/>
    </xf>
    <xf numFmtId="0" fontId="10" fillId="0" borderId="8" xfId="0" applyFont="1" applyBorder="1" applyAlignment="1">
      <alignment horizontal="center" wrapText="1"/>
    </xf>
    <xf numFmtId="2" fontId="0" fillId="0" borderId="0" xfId="2" applyNumberFormat="1" applyFont="1"/>
    <xf numFmtId="2" fontId="0" fillId="0" borderId="0" xfId="0" applyNumberFormat="1"/>
    <xf numFmtId="0" fontId="0" fillId="0" borderId="0" xfId="2" applyNumberFormat="1" applyFont="1"/>
    <xf numFmtId="0" fontId="0" fillId="0" borderId="0" xfId="0" applyNumberFormat="1"/>
    <xf numFmtId="168" fontId="0" fillId="0" borderId="0" xfId="0" applyNumberFormat="1"/>
    <xf numFmtId="0" fontId="6" fillId="7" borderId="0" xfId="0" applyFont="1" applyFill="1"/>
    <xf numFmtId="9" fontId="6" fillId="7" borderId="0" xfId="0" applyNumberFormat="1" applyFont="1" applyFill="1"/>
    <xf numFmtId="9" fontId="0" fillId="6" borderId="0" xfId="0" applyNumberFormat="1" applyFill="1"/>
    <xf numFmtId="0" fontId="0" fillId="3" borderId="0" xfId="2" applyNumberFormat="1" applyFont="1" applyFill="1"/>
    <xf numFmtId="9" fontId="1" fillId="7" borderId="0" xfId="2" applyNumberFormat="1" applyFont="1" applyFill="1"/>
    <xf numFmtId="9" fontId="1" fillId="6" borderId="0" xfId="2" applyNumberFormat="1" applyFont="1" applyFill="1"/>
    <xf numFmtId="0" fontId="14" fillId="0" borderId="0" xfId="0" applyFont="1"/>
    <xf numFmtId="0" fontId="16" fillId="0" borderId="0" xfId="3" applyFont="1" applyFill="1" applyBorder="1"/>
    <xf numFmtId="0" fontId="15" fillId="0" borderId="0" xfId="3" applyFont="1" applyFill="1" applyBorder="1"/>
    <xf numFmtId="0" fontId="17" fillId="0" borderId="0" xfId="0" applyFont="1" applyFill="1" applyBorder="1"/>
    <xf numFmtId="20" fontId="15" fillId="0" borderId="0" xfId="3" applyNumberFormat="1" applyFont="1" applyFill="1" applyBorder="1"/>
    <xf numFmtId="17" fontId="15" fillId="0" borderId="0" xfId="3" applyNumberFormat="1" applyFont="1" applyFill="1" applyBorder="1"/>
    <xf numFmtId="2" fontId="17" fillId="0" borderId="0" xfId="0" applyNumberFormat="1" applyFont="1" applyFill="1" applyBorder="1"/>
    <xf numFmtId="20" fontId="0" fillId="0" borderId="0" xfId="0" applyNumberFormat="1" applyFill="1"/>
    <xf numFmtId="17" fontId="0" fillId="0" borderId="0" xfId="0" applyNumberFormat="1" applyFill="1"/>
    <xf numFmtId="9" fontId="1" fillId="0" borderId="0" xfId="2" applyNumberFormat="1" applyFont="1" applyFill="1"/>
    <xf numFmtId="0" fontId="4" fillId="0" borderId="0" xfId="0" applyFont="1" applyFill="1"/>
    <xf numFmtId="166" fontId="0" fillId="0" borderId="0" xfId="0" applyNumberFormat="1" applyFill="1"/>
    <xf numFmtId="166" fontId="5" fillId="0" borderId="0" xfId="0" applyNumberFormat="1" applyFont="1" applyFill="1"/>
  </cellXfs>
  <cellStyles count="4">
    <cellStyle name="Comma" xfId="1" builtinId="3"/>
    <cellStyle name="Normal" xfId="0" builtinId="0"/>
    <cellStyle name="Normal_Version 2 on-site" xfId="3"/>
    <cellStyle name="Percent" xfId="2" builtinId="5"/>
  </cellStyles>
  <dxfs count="57"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1" tint="4.9989318521683403E-2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Version 3 r1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'Aggregate results %'!$B$38:$I$38</c:f>
              <c:strCache>
                <c:ptCount val="8"/>
                <c:pt idx="0">
                  <c:v>two-fifteenths</c:v>
                </c:pt>
                <c:pt idx="1">
                  <c:v>two-ninths</c:v>
                </c:pt>
                <c:pt idx="2">
                  <c:v>two-sevenths</c:v>
                </c:pt>
                <c:pt idx="3">
                  <c:v>one-third</c:v>
                </c:pt>
                <c:pt idx="4">
                  <c:v>three-eights</c:v>
                </c:pt>
                <c:pt idx="5">
                  <c:v>five-twelfths</c:v>
                </c:pt>
                <c:pt idx="6">
                  <c:v>eleven-twentyfifths</c:v>
                </c:pt>
                <c:pt idx="7">
                  <c:v>one-half</c:v>
                </c:pt>
              </c:strCache>
            </c:strRef>
          </c:cat>
          <c:val>
            <c:numRef>
              <c:f>'Aggregate results %'!$B$37:$I$37</c:f>
              <c:numCache>
                <c:formatCode>0</c:formatCode>
                <c:ptCount val="8"/>
                <c:pt idx="0">
                  <c:v>2.1875</c:v>
                </c:pt>
                <c:pt idx="1">
                  <c:v>6.25</c:v>
                </c:pt>
                <c:pt idx="2">
                  <c:v>25</c:v>
                </c:pt>
                <c:pt idx="3">
                  <c:v>40.3125</c:v>
                </c:pt>
                <c:pt idx="4">
                  <c:v>15.3125</c:v>
                </c:pt>
                <c:pt idx="5">
                  <c:v>5.3125</c:v>
                </c:pt>
                <c:pt idx="6">
                  <c:v>3.125</c:v>
                </c:pt>
                <c:pt idx="7">
                  <c:v>2.5</c:v>
                </c:pt>
              </c:numCache>
            </c:numRef>
          </c:val>
        </c:ser>
        <c:ser>
          <c:idx val="1"/>
          <c:order val="1"/>
          <c:tx>
            <c:v>Version 4 r1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'Aggregate results %'!$B$50:$I$50</c:f>
              <c:numCache>
                <c:formatCode>0</c:formatCode>
                <c:ptCount val="8"/>
                <c:pt idx="0">
                  <c:v>0.27777777777777779</c:v>
                </c:pt>
                <c:pt idx="1">
                  <c:v>7.2222222222222214</c:v>
                </c:pt>
                <c:pt idx="2">
                  <c:v>19.722222222222221</c:v>
                </c:pt>
                <c:pt idx="3">
                  <c:v>40</c:v>
                </c:pt>
                <c:pt idx="4">
                  <c:v>15.555555555555555</c:v>
                </c:pt>
                <c:pt idx="5">
                  <c:v>10.555555555555557</c:v>
                </c:pt>
                <c:pt idx="6">
                  <c:v>3.333333333333333</c:v>
                </c:pt>
                <c:pt idx="7">
                  <c:v>3.333333333333333</c:v>
                </c:pt>
              </c:numCache>
            </c:numRef>
          </c:val>
        </c:ser>
        <c:ser>
          <c:idx val="2"/>
          <c:order val="2"/>
          <c:tx>
            <c:v>Version 5 r1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'Aggregate results %'!$B$63:$I$63</c:f>
              <c:numCache>
                <c:formatCode>0</c:formatCode>
                <c:ptCount val="8"/>
                <c:pt idx="0">
                  <c:v>1.0273972602739725</c:v>
                </c:pt>
                <c:pt idx="1">
                  <c:v>4.7945205479452051</c:v>
                </c:pt>
                <c:pt idx="2">
                  <c:v>21.575342465753423</c:v>
                </c:pt>
                <c:pt idx="3">
                  <c:v>32.191780821917803</c:v>
                </c:pt>
                <c:pt idx="4">
                  <c:v>15.410958904109588</c:v>
                </c:pt>
                <c:pt idx="5">
                  <c:v>19.17808219178082</c:v>
                </c:pt>
                <c:pt idx="6">
                  <c:v>2.7397260273972601</c:v>
                </c:pt>
                <c:pt idx="7">
                  <c:v>3.0821917808219177</c:v>
                </c:pt>
              </c:numCache>
            </c:numRef>
          </c:val>
        </c:ser>
        <c:ser>
          <c:idx val="3"/>
          <c:order val="3"/>
          <c:tx>
            <c:v>Version 6 r1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'Aggregate results %'!$B$63:$I$63</c:f>
              <c:numCache>
                <c:formatCode>0</c:formatCode>
                <c:ptCount val="8"/>
                <c:pt idx="0">
                  <c:v>1.0273972602739725</c:v>
                </c:pt>
                <c:pt idx="1">
                  <c:v>4.7945205479452051</c:v>
                </c:pt>
                <c:pt idx="2">
                  <c:v>21.575342465753423</c:v>
                </c:pt>
                <c:pt idx="3">
                  <c:v>32.191780821917803</c:v>
                </c:pt>
                <c:pt idx="4">
                  <c:v>15.410958904109588</c:v>
                </c:pt>
                <c:pt idx="5">
                  <c:v>19.17808219178082</c:v>
                </c:pt>
                <c:pt idx="6">
                  <c:v>2.7397260273972601</c:v>
                </c:pt>
                <c:pt idx="7">
                  <c:v>3.0821917808219177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997888"/>
        <c:axId val="93011968"/>
      </c:barChart>
      <c:catAx>
        <c:axId val="9299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11968"/>
        <c:crosses val="autoZero"/>
        <c:auto val="1"/>
        <c:lblAlgn val="ctr"/>
        <c:lblOffset val="100"/>
        <c:noMultiLvlLbl val="0"/>
      </c:catAx>
      <c:valAx>
        <c:axId val="9301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97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556992016482129"/>
          <c:y val="0.91193308318132327"/>
          <c:w val="0.72784960082410666"/>
          <c:h val="6.25000866977853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'consistency measures'!$A$5</c:f>
              <c:strCache>
                <c:ptCount val="1"/>
                <c:pt idx="0">
                  <c:v>stp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'consistency measures'!$B$1:$D$1</c:f>
              <c:strCache>
                <c:ptCount val="3"/>
                <c:pt idx="0">
                  <c:v>low </c:v>
                </c:pt>
                <c:pt idx="1">
                  <c:v>moderate</c:v>
                </c:pt>
                <c:pt idx="2">
                  <c:v>high</c:v>
                </c:pt>
              </c:strCache>
            </c:strRef>
          </c:cat>
          <c:val>
            <c:numRef>
              <c:f>'consistency measures'!$B$5:$D$5</c:f>
              <c:numCache>
                <c:formatCode>General</c:formatCode>
                <c:ptCount val="3"/>
                <c:pt idx="0">
                  <c:v>63</c:v>
                </c:pt>
                <c:pt idx="1">
                  <c:v>45</c:v>
                </c:pt>
                <c:pt idx="2">
                  <c:v>34</c:v>
                </c:pt>
              </c:numCache>
            </c:numRef>
          </c:val>
        </c:ser>
        <c:ser>
          <c:idx val="4"/>
          <c:order val="1"/>
          <c:tx>
            <c:strRef>
              <c:f>'consistency measures'!$A$6</c:f>
              <c:strCache>
                <c:ptCount val="1"/>
                <c:pt idx="0">
                  <c:v>PIR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'consistency measures'!$B$1:$D$1</c:f>
              <c:strCache>
                <c:ptCount val="3"/>
                <c:pt idx="0">
                  <c:v>low </c:v>
                </c:pt>
                <c:pt idx="1">
                  <c:v>moderate</c:v>
                </c:pt>
                <c:pt idx="2">
                  <c:v>high</c:v>
                </c:pt>
              </c:strCache>
            </c:strRef>
          </c:cat>
          <c:val>
            <c:numRef>
              <c:f>'consistency measures'!$B$6:$D$6</c:f>
              <c:numCache>
                <c:formatCode>General</c:formatCode>
                <c:ptCount val="3"/>
                <c:pt idx="0">
                  <c:v>47.8</c:v>
                </c:pt>
                <c:pt idx="1">
                  <c:v>33.299999999999997</c:v>
                </c:pt>
                <c:pt idx="2">
                  <c:v>20.9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21024"/>
        <c:axId val="104322560"/>
      </c:barChart>
      <c:catAx>
        <c:axId val="104321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4322560"/>
        <c:crosses val="autoZero"/>
        <c:auto val="1"/>
        <c:lblAlgn val="ctr"/>
        <c:lblOffset val="100"/>
        <c:noMultiLvlLbl val="0"/>
      </c:catAx>
      <c:valAx>
        <c:axId val="104322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21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'consistency measures'!$A$7</c:f>
              <c:strCache>
                <c:ptCount val="1"/>
                <c:pt idx="0">
                  <c:v>sas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'consistency measures'!$B$1:$D$1</c:f>
              <c:strCache>
                <c:ptCount val="3"/>
                <c:pt idx="0">
                  <c:v>low </c:v>
                </c:pt>
                <c:pt idx="1">
                  <c:v>moderate</c:v>
                </c:pt>
                <c:pt idx="2">
                  <c:v>high</c:v>
                </c:pt>
              </c:strCache>
            </c:strRef>
          </c:cat>
          <c:val>
            <c:numRef>
              <c:f>'consistency measures'!$B$7:$D$7</c:f>
              <c:numCache>
                <c:formatCode>General</c:formatCode>
                <c:ptCount val="3"/>
                <c:pt idx="0">
                  <c:v>3.8</c:v>
                </c:pt>
                <c:pt idx="1">
                  <c:v>10.5</c:v>
                </c:pt>
                <c:pt idx="2">
                  <c:v>19.3</c:v>
                </c:pt>
              </c:numCache>
            </c:numRef>
          </c:val>
        </c:ser>
        <c:ser>
          <c:idx val="6"/>
          <c:order val="1"/>
          <c:tx>
            <c:strRef>
              <c:f>'consistency measures'!$A$8</c:f>
              <c:strCache>
                <c:ptCount val="1"/>
                <c:pt idx="0">
                  <c:v>was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'consistency measures'!$B$1:$D$1</c:f>
              <c:strCache>
                <c:ptCount val="3"/>
                <c:pt idx="0">
                  <c:v>low </c:v>
                </c:pt>
                <c:pt idx="1">
                  <c:v>moderate</c:v>
                </c:pt>
                <c:pt idx="2">
                  <c:v>high</c:v>
                </c:pt>
              </c:strCache>
            </c:strRef>
          </c:cat>
          <c:val>
            <c:numRef>
              <c:f>'consistency measures'!$B$8:$D$8</c:f>
              <c:numCache>
                <c:formatCode>General</c:formatCode>
                <c:ptCount val="3"/>
                <c:pt idx="0">
                  <c:v>10.6</c:v>
                </c:pt>
                <c:pt idx="1">
                  <c:v>22.3</c:v>
                </c:pt>
                <c:pt idx="2">
                  <c:v>32.700000000000003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76192"/>
        <c:axId val="104377728"/>
      </c:barChart>
      <c:catAx>
        <c:axId val="104376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4377728"/>
        <c:crosses val="autoZero"/>
        <c:auto val="1"/>
        <c:lblAlgn val="ctr"/>
        <c:lblOffset val="100"/>
        <c:noMultiLvlLbl val="0"/>
      </c:catAx>
      <c:valAx>
        <c:axId val="104377728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376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'consistency measures'!$A$14</c:f>
              <c:strCache>
                <c:ptCount val="1"/>
                <c:pt idx="0">
                  <c:v>mu</c:v>
                </c:pt>
              </c:strCache>
            </c:strRef>
          </c:tx>
          <c:spPr>
            <a:ln w="31750">
              <a:solidFill>
                <a:schemeClr val="bg2">
                  <a:lumMod val="25000"/>
                </a:schemeClr>
              </a:solidFill>
              <a:prstDash val="sysDash"/>
            </a:ln>
          </c:spPr>
          <c:marker>
            <c:spPr>
              <a:solidFill>
                <a:srgbClr val="EEECE1">
                  <a:lumMod val="10000"/>
                </a:srgbClr>
              </a:solidFill>
              <a:ln>
                <a:noFill/>
              </a:ln>
            </c:spPr>
          </c:marker>
          <c:val>
            <c:numRef>
              <c:f>'consistency measures'!$B$14:$C$14</c:f>
              <c:numCache>
                <c:formatCode>General</c:formatCode>
                <c:ptCount val="2"/>
                <c:pt idx="0">
                  <c:v>0.32</c:v>
                </c:pt>
                <c:pt idx="1">
                  <c:v>0.32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'consistency measures'!$A$13</c:f>
              <c:strCache>
                <c:ptCount val="1"/>
                <c:pt idx="0">
                  <c:v>1-d (AA deviation)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 w="50800">
                <a:solidFill>
                  <a:srgbClr val="FF0000"/>
                </a:solidFill>
              </a:ln>
            </c:spPr>
          </c:marker>
          <c:val>
            <c:numRef>
              <c:f>'consistency measures'!$B$13:$C$13</c:f>
              <c:numCache>
                <c:formatCode>General</c:formatCode>
                <c:ptCount val="2"/>
                <c:pt idx="0">
                  <c:v>0.22</c:v>
                </c:pt>
                <c:pt idx="1">
                  <c:v>0.22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'consistency measures'!$A$12</c:f>
              <c:strCache>
                <c:ptCount val="1"/>
                <c:pt idx="0">
                  <c:v>1-a (AL deviation)</c:v>
                </c:pt>
              </c:strCache>
            </c:strRef>
          </c:tx>
          <c:spPr>
            <a:ln w="50800"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'consistency measures'!$B$1:$C$1</c:f>
              <c:strCache>
                <c:ptCount val="2"/>
                <c:pt idx="0">
                  <c:v>low </c:v>
                </c:pt>
                <c:pt idx="1">
                  <c:v>moderate</c:v>
                </c:pt>
              </c:strCache>
            </c:strRef>
          </c:cat>
          <c:val>
            <c:numRef>
              <c:f>'consistency measures'!$B$12:$C$12</c:f>
              <c:numCache>
                <c:formatCode>General</c:formatCode>
                <c:ptCount val="2"/>
                <c:pt idx="0">
                  <c:v>0.08</c:v>
                </c:pt>
                <c:pt idx="1">
                  <c:v>0.12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'consistency measures'!$A$15</c:f>
              <c:strCache>
                <c:ptCount val="1"/>
                <c:pt idx="0">
                  <c:v>sigma</c:v>
                </c:pt>
              </c:strCache>
            </c:strRef>
          </c:tx>
          <c:spPr>
            <a:ln w="31750">
              <a:solidFill>
                <a:schemeClr val="bg2">
                  <a:lumMod val="10000"/>
                </a:schemeClr>
              </a:solidFill>
              <a:prstDash val="solid"/>
            </a:ln>
          </c:spPr>
          <c:marker>
            <c:spPr>
              <a:solidFill>
                <a:schemeClr val="bg2">
                  <a:lumMod val="10000"/>
                </a:schemeClr>
              </a:solidFill>
            </c:spPr>
          </c:marker>
          <c:val>
            <c:numRef>
              <c:f>'consistency measures'!$B$15:$C$15</c:f>
              <c:numCache>
                <c:formatCode>General</c:formatCode>
                <c:ptCount val="2"/>
                <c:pt idx="0">
                  <c:v>3.2000000000000001E-2</c:v>
                </c:pt>
                <c:pt idx="1">
                  <c:v>3.3000000000000002E-2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400"/>
        <c:axId val="104504320"/>
      </c:lineChart>
      <c:catAx>
        <c:axId val="104502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04504320"/>
        <c:crosses val="autoZero"/>
        <c:auto val="1"/>
        <c:lblAlgn val="ctr"/>
        <c:lblOffset val="100"/>
        <c:noMultiLvlLbl val="0"/>
      </c:catAx>
      <c:valAx>
        <c:axId val="104504320"/>
        <c:scaling>
          <c:orientation val="minMax"/>
          <c:max val="0.350000000000000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502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Version 3 r2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'Aggregate results %'!$B$38:$I$38</c:f>
              <c:strCache>
                <c:ptCount val="8"/>
                <c:pt idx="0">
                  <c:v>two-fifteenths</c:v>
                </c:pt>
                <c:pt idx="1">
                  <c:v>two-ninths</c:v>
                </c:pt>
                <c:pt idx="2">
                  <c:v>two-sevenths</c:v>
                </c:pt>
                <c:pt idx="3">
                  <c:v>one-third</c:v>
                </c:pt>
                <c:pt idx="4">
                  <c:v>three-eights</c:v>
                </c:pt>
                <c:pt idx="5">
                  <c:v>five-twelfths</c:v>
                </c:pt>
                <c:pt idx="6">
                  <c:v>eleven-twentyfifths</c:v>
                </c:pt>
                <c:pt idx="7">
                  <c:v>one-half</c:v>
                </c:pt>
              </c:strCache>
            </c:strRef>
          </c:cat>
          <c:val>
            <c:numRef>
              <c:f>'Aggregate results %'!$M$81:$T$81</c:f>
              <c:numCache>
                <c:formatCode>0</c:formatCode>
                <c:ptCount val="8"/>
                <c:pt idx="0">
                  <c:v>2.1875</c:v>
                </c:pt>
                <c:pt idx="1">
                  <c:v>5.625</c:v>
                </c:pt>
                <c:pt idx="2">
                  <c:v>14.6875</c:v>
                </c:pt>
                <c:pt idx="3">
                  <c:v>30</c:v>
                </c:pt>
                <c:pt idx="4">
                  <c:v>18.75</c:v>
                </c:pt>
                <c:pt idx="5">
                  <c:v>13.125</c:v>
                </c:pt>
                <c:pt idx="6">
                  <c:v>7.5</c:v>
                </c:pt>
                <c:pt idx="7">
                  <c:v>8.125</c:v>
                </c:pt>
              </c:numCache>
            </c:numRef>
          </c:val>
        </c:ser>
        <c:ser>
          <c:idx val="1"/>
          <c:order val="1"/>
          <c:tx>
            <c:v>Version 4 r2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'Aggregate results %'!$M$82:$T$82</c:f>
              <c:numCache>
                <c:formatCode>0</c:formatCode>
                <c:ptCount val="8"/>
                <c:pt idx="0">
                  <c:v>1.6666666666666665</c:v>
                </c:pt>
                <c:pt idx="1">
                  <c:v>7.7777777777777777</c:v>
                </c:pt>
                <c:pt idx="2">
                  <c:v>9.4444444444444446</c:v>
                </c:pt>
                <c:pt idx="3">
                  <c:v>29.166666666666668</c:v>
                </c:pt>
                <c:pt idx="4">
                  <c:v>21.388888888888893</c:v>
                </c:pt>
                <c:pt idx="5">
                  <c:v>19.722222222222221</c:v>
                </c:pt>
                <c:pt idx="6">
                  <c:v>3.8888888888888893</c:v>
                </c:pt>
                <c:pt idx="7">
                  <c:v>6.9444444444444446</c:v>
                </c:pt>
              </c:numCache>
            </c:numRef>
          </c:val>
        </c:ser>
        <c:ser>
          <c:idx val="2"/>
          <c:order val="2"/>
          <c:tx>
            <c:v>Version 5 r2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'Aggregate results %'!$M$83:$T$83</c:f>
              <c:numCache>
                <c:formatCode>0</c:formatCode>
                <c:ptCount val="8"/>
                <c:pt idx="0">
                  <c:v>1.7123287671232874</c:v>
                </c:pt>
                <c:pt idx="1">
                  <c:v>4.7945205479452051</c:v>
                </c:pt>
                <c:pt idx="2">
                  <c:v>12.328767123287669</c:v>
                </c:pt>
                <c:pt idx="3">
                  <c:v>25.684931506849313</c:v>
                </c:pt>
                <c:pt idx="4">
                  <c:v>16.095890410958905</c:v>
                </c:pt>
                <c:pt idx="5">
                  <c:v>25.342465753424655</c:v>
                </c:pt>
                <c:pt idx="6">
                  <c:v>5.4794520547945202</c:v>
                </c:pt>
                <c:pt idx="7">
                  <c:v>8.5616438356164384</c:v>
                </c:pt>
              </c:numCache>
            </c:numRef>
          </c:val>
        </c:ser>
        <c:ser>
          <c:idx val="3"/>
          <c:order val="3"/>
          <c:tx>
            <c:v>Version 6 r2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'Aggregate results %'!$M$84:$T$84</c:f>
              <c:numCache>
                <c:formatCode>0</c:formatCode>
                <c:ptCount val="8"/>
                <c:pt idx="0">
                  <c:v>0.92592592592592582</c:v>
                </c:pt>
                <c:pt idx="1">
                  <c:v>5.2469135802469129</c:v>
                </c:pt>
                <c:pt idx="2">
                  <c:v>11.111111111111111</c:v>
                </c:pt>
                <c:pt idx="3">
                  <c:v>24.691358024691358</c:v>
                </c:pt>
                <c:pt idx="4">
                  <c:v>28.086419753086417</c:v>
                </c:pt>
                <c:pt idx="5">
                  <c:v>21.913580246913583</c:v>
                </c:pt>
                <c:pt idx="6">
                  <c:v>5.5555555555555545</c:v>
                </c:pt>
                <c:pt idx="7">
                  <c:v>2.4691358024691357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042560"/>
        <c:axId val="93044096"/>
      </c:barChart>
      <c:catAx>
        <c:axId val="9304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44096"/>
        <c:crosses val="autoZero"/>
        <c:auto val="1"/>
        <c:lblAlgn val="ctr"/>
        <c:lblOffset val="100"/>
        <c:noMultiLvlLbl val="0"/>
      </c:catAx>
      <c:valAx>
        <c:axId val="930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42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556992016482129"/>
          <c:y val="0.91168344819335434"/>
          <c:w val="0.72784960082410666"/>
          <c:h val="6.2678237063293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Version 3 r2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'Aggregate results %'!$B$38:$I$38</c:f>
              <c:strCache>
                <c:ptCount val="8"/>
                <c:pt idx="0">
                  <c:v>two-fifteenths</c:v>
                </c:pt>
                <c:pt idx="1">
                  <c:v>two-ninths</c:v>
                </c:pt>
                <c:pt idx="2">
                  <c:v>two-sevenths</c:v>
                </c:pt>
                <c:pt idx="3">
                  <c:v>one-third</c:v>
                </c:pt>
                <c:pt idx="4">
                  <c:v>three-eights</c:v>
                </c:pt>
                <c:pt idx="5">
                  <c:v>five-twelfths</c:v>
                </c:pt>
                <c:pt idx="6">
                  <c:v>eleven-twentyfifths</c:v>
                </c:pt>
                <c:pt idx="7">
                  <c:v>one-half</c:v>
                </c:pt>
              </c:strCache>
            </c:strRef>
          </c:cat>
          <c:val>
            <c:numRef>
              <c:f>'Aggregate results %'!$M$81:$T$81</c:f>
              <c:numCache>
                <c:formatCode>0</c:formatCode>
                <c:ptCount val="8"/>
                <c:pt idx="0">
                  <c:v>2.1875</c:v>
                </c:pt>
                <c:pt idx="1">
                  <c:v>5.625</c:v>
                </c:pt>
                <c:pt idx="2">
                  <c:v>14.6875</c:v>
                </c:pt>
                <c:pt idx="3">
                  <c:v>30</c:v>
                </c:pt>
                <c:pt idx="4">
                  <c:v>18.75</c:v>
                </c:pt>
                <c:pt idx="5">
                  <c:v>13.125</c:v>
                </c:pt>
                <c:pt idx="6">
                  <c:v>7.5</c:v>
                </c:pt>
                <c:pt idx="7">
                  <c:v>8.125</c:v>
                </c:pt>
              </c:numCache>
            </c:numRef>
          </c:val>
        </c:ser>
        <c:ser>
          <c:idx val="3"/>
          <c:order val="1"/>
          <c:tx>
            <c:v>Version 6 r2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'Aggregate results %'!$M$84:$T$84</c:f>
              <c:numCache>
                <c:formatCode>0</c:formatCode>
                <c:ptCount val="8"/>
                <c:pt idx="0">
                  <c:v>0.92592592592592582</c:v>
                </c:pt>
                <c:pt idx="1">
                  <c:v>5.2469135802469129</c:v>
                </c:pt>
                <c:pt idx="2">
                  <c:v>11.111111111111111</c:v>
                </c:pt>
                <c:pt idx="3">
                  <c:v>24.691358024691358</c:v>
                </c:pt>
                <c:pt idx="4">
                  <c:v>28.086419753086417</c:v>
                </c:pt>
                <c:pt idx="5">
                  <c:v>21.913580246913583</c:v>
                </c:pt>
                <c:pt idx="6">
                  <c:v>5.5555555555555545</c:v>
                </c:pt>
                <c:pt idx="7">
                  <c:v>2.4691358024691357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077504"/>
        <c:axId val="93079040"/>
      </c:barChart>
      <c:catAx>
        <c:axId val="9307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79040"/>
        <c:crosses val="autoZero"/>
        <c:auto val="1"/>
        <c:lblAlgn val="ctr"/>
        <c:lblOffset val="100"/>
        <c:noMultiLvlLbl val="0"/>
      </c:catAx>
      <c:valAx>
        <c:axId val="9307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77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700489312387443"/>
          <c:y val="0.91168344819335434"/>
          <c:w val="0.36286994591810501"/>
          <c:h val="6.2678237063293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Version 3 r1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'Aggregate results %'!$B$38:$I$38</c:f>
              <c:strCache>
                <c:ptCount val="8"/>
                <c:pt idx="0">
                  <c:v>two-fifteenths</c:v>
                </c:pt>
                <c:pt idx="1">
                  <c:v>two-ninths</c:v>
                </c:pt>
                <c:pt idx="2">
                  <c:v>two-sevenths</c:v>
                </c:pt>
                <c:pt idx="3">
                  <c:v>one-third</c:v>
                </c:pt>
                <c:pt idx="4">
                  <c:v>three-eights</c:v>
                </c:pt>
                <c:pt idx="5">
                  <c:v>five-twelfths</c:v>
                </c:pt>
                <c:pt idx="6">
                  <c:v>eleven-twentyfifths</c:v>
                </c:pt>
                <c:pt idx="7">
                  <c:v>one-half</c:v>
                </c:pt>
              </c:strCache>
            </c:strRef>
          </c:cat>
          <c:val>
            <c:numRef>
              <c:f>'Aggregate results %'!$B$37:$I$37</c:f>
              <c:numCache>
                <c:formatCode>0</c:formatCode>
                <c:ptCount val="8"/>
                <c:pt idx="0">
                  <c:v>2.1875</c:v>
                </c:pt>
                <c:pt idx="1">
                  <c:v>6.25</c:v>
                </c:pt>
                <c:pt idx="2">
                  <c:v>25</c:v>
                </c:pt>
                <c:pt idx="3">
                  <c:v>40.3125</c:v>
                </c:pt>
                <c:pt idx="4">
                  <c:v>15.3125</c:v>
                </c:pt>
                <c:pt idx="5">
                  <c:v>5.3125</c:v>
                </c:pt>
                <c:pt idx="6">
                  <c:v>3.125</c:v>
                </c:pt>
                <c:pt idx="7">
                  <c:v>2.5</c:v>
                </c:pt>
              </c:numCache>
            </c:numRef>
          </c:val>
        </c:ser>
        <c:ser>
          <c:idx val="3"/>
          <c:order val="1"/>
          <c:tx>
            <c:v>Version 6 r1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'Aggregate results %'!$B$63:$I$63</c:f>
              <c:numCache>
                <c:formatCode>0</c:formatCode>
                <c:ptCount val="8"/>
                <c:pt idx="0">
                  <c:v>1.0273972602739725</c:v>
                </c:pt>
                <c:pt idx="1">
                  <c:v>4.7945205479452051</c:v>
                </c:pt>
                <c:pt idx="2">
                  <c:v>21.575342465753423</c:v>
                </c:pt>
                <c:pt idx="3">
                  <c:v>32.191780821917803</c:v>
                </c:pt>
                <c:pt idx="4">
                  <c:v>15.410958904109588</c:v>
                </c:pt>
                <c:pt idx="5">
                  <c:v>19.17808219178082</c:v>
                </c:pt>
                <c:pt idx="6">
                  <c:v>2.7397260273972601</c:v>
                </c:pt>
                <c:pt idx="7">
                  <c:v>3.0821917808219177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116288"/>
        <c:axId val="93117824"/>
      </c:barChart>
      <c:catAx>
        <c:axId val="9311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17824"/>
        <c:crosses val="autoZero"/>
        <c:auto val="1"/>
        <c:lblAlgn val="ctr"/>
        <c:lblOffset val="100"/>
        <c:noMultiLvlLbl val="0"/>
      </c:catAx>
      <c:valAx>
        <c:axId val="9311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16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700489312387443"/>
          <c:y val="0.91168344819335434"/>
          <c:w val="0.36286994591810501"/>
          <c:h val="6.2678237063293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 1, on-site</a:t>
            </a:r>
          </a:p>
        </c:rich>
      </c:tx>
      <c:layout>
        <c:manualLayout>
          <c:xMode val="edge"/>
          <c:yMode val="edge"/>
          <c:x val="0.37803095410061832"/>
          <c:y val="3.703695364104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269818957733028E-2"/>
          <c:y val="0.25473711214807404"/>
          <c:w val="0.63820342890656412"/>
          <c:h val="0.61473749377882536"/>
        </c:manualLayout>
      </c:layout>
      <c:barChart>
        <c:barDir val="col"/>
        <c:grouping val="clustered"/>
        <c:varyColors val="0"/>
        <c:ser>
          <c:idx val="0"/>
          <c:order val="0"/>
          <c:tx>
            <c:v>version 1 on-site</c:v>
          </c:tx>
          <c:invertIfNegative val="0"/>
          <c:cat>
            <c:numRef>
              <c:f>'Version 1 (GI1) on-site'!$B$52:$I$52</c:f>
              <c:numCache>
                <c:formatCode>#\ ??/??</c:formatCode>
                <c:ptCount val="8"/>
                <c:pt idx="0">
                  <c:v>0.13333333333333333</c:v>
                </c:pt>
                <c:pt idx="1">
                  <c:v>0.22222222222222221</c:v>
                </c:pt>
                <c:pt idx="2">
                  <c:v>0.2857142857142857</c:v>
                </c:pt>
                <c:pt idx="3">
                  <c:v>0.33333333333333331</c:v>
                </c:pt>
                <c:pt idx="4">
                  <c:v>0.375</c:v>
                </c:pt>
                <c:pt idx="5">
                  <c:v>0.41666666666666669</c:v>
                </c:pt>
                <c:pt idx="6">
                  <c:v>0.44</c:v>
                </c:pt>
                <c:pt idx="7">
                  <c:v>0.5</c:v>
                </c:pt>
              </c:numCache>
            </c:numRef>
          </c:cat>
          <c:val>
            <c:numRef>
              <c:f>'Version 1 (GI1) on-site'!$B$49:$I$49</c:f>
              <c:numCache>
                <c:formatCode>0%</c:formatCode>
                <c:ptCount val="8"/>
                <c:pt idx="0">
                  <c:v>1.1029411764705883E-2</c:v>
                </c:pt>
                <c:pt idx="1">
                  <c:v>7.3529411764705881E-3</c:v>
                </c:pt>
                <c:pt idx="2">
                  <c:v>0.15441176470588236</c:v>
                </c:pt>
                <c:pt idx="3">
                  <c:v>0.36029411764705882</c:v>
                </c:pt>
                <c:pt idx="4">
                  <c:v>0.15073529411764705</c:v>
                </c:pt>
                <c:pt idx="5">
                  <c:v>0.16176470588235295</c:v>
                </c:pt>
                <c:pt idx="6">
                  <c:v>6.6176470588235295E-2</c:v>
                </c:pt>
                <c:pt idx="7">
                  <c:v>8.8235294117647065E-2</c:v>
                </c:pt>
              </c:numCache>
            </c:numRef>
          </c:val>
        </c:ser>
        <c:ser>
          <c:idx val="1"/>
          <c:order val="1"/>
          <c:tx>
            <c:strRef>
              <c:f>'Version 1 (GI1) on-site'!$A$50</c:f>
              <c:strCache>
                <c:ptCount val="1"/>
                <c:pt idx="0">
                  <c:v>version 2 On-site</c:v>
                </c:pt>
              </c:strCache>
            </c:strRef>
          </c:tx>
          <c:invertIfNegative val="0"/>
          <c:val>
            <c:numRef>
              <c:f>'Version 1 (GI1) on-site'!$B$50:$I$50</c:f>
              <c:numCache>
                <c:formatCode>0%</c:formatCode>
                <c:ptCount val="8"/>
                <c:pt idx="0">
                  <c:v>3.2894736842105261E-3</c:v>
                </c:pt>
                <c:pt idx="1">
                  <c:v>3.2894736842105261E-2</c:v>
                </c:pt>
                <c:pt idx="2">
                  <c:v>0.27302631578947367</c:v>
                </c:pt>
                <c:pt idx="3">
                  <c:v>0.38486842105263158</c:v>
                </c:pt>
                <c:pt idx="4">
                  <c:v>0.21381578947368421</c:v>
                </c:pt>
                <c:pt idx="5">
                  <c:v>5.5921052631578948E-2</c:v>
                </c:pt>
                <c:pt idx="6">
                  <c:v>1.9736842105263157E-2</c:v>
                </c:pt>
                <c:pt idx="7">
                  <c:v>1.6447368421052631E-2</c:v>
                </c:pt>
              </c:numCache>
            </c:numRef>
          </c:val>
        </c:ser>
        <c:ser>
          <c:idx val="2"/>
          <c:order val="2"/>
          <c:tx>
            <c:strRef>
              <c:f>'Version 1 (GI1) on-site'!$A$51</c:f>
              <c:strCache>
                <c:ptCount val="1"/>
                <c:pt idx="0">
                  <c:v>version 3 On-site</c:v>
                </c:pt>
              </c:strCache>
            </c:strRef>
          </c:tx>
          <c:invertIfNegative val="0"/>
          <c:val>
            <c:numRef>
              <c:f>'Version 1 (GI1) on-site'!$B$51:$I$51</c:f>
              <c:numCache>
                <c:formatCode>0%</c:formatCode>
                <c:ptCount val="8"/>
                <c:pt idx="0">
                  <c:v>2.1874999999999999E-2</c:v>
                </c:pt>
                <c:pt idx="1">
                  <c:v>6.25E-2</c:v>
                </c:pt>
                <c:pt idx="2">
                  <c:v>0.25</c:v>
                </c:pt>
                <c:pt idx="3">
                  <c:v>0.40312500000000001</c:v>
                </c:pt>
                <c:pt idx="4">
                  <c:v>0.15312500000000001</c:v>
                </c:pt>
                <c:pt idx="5">
                  <c:v>5.3124999999999999E-2</c:v>
                </c:pt>
                <c:pt idx="6">
                  <c:v>3.125E-2</c:v>
                </c:pt>
                <c:pt idx="7">
                  <c:v>2.5000000000000001E-2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42496"/>
        <c:axId val="93244032"/>
      </c:barChart>
      <c:catAx>
        <c:axId val="93242496"/>
        <c:scaling>
          <c:orientation val="minMax"/>
        </c:scaling>
        <c:delete val="0"/>
        <c:axPos val="b"/>
        <c:numFmt formatCode="#\ ??/??" sourceLinked="1"/>
        <c:majorTickMark val="out"/>
        <c:minorTickMark val="none"/>
        <c:tickLblPos val="nextTo"/>
        <c:crossAx val="93244032"/>
        <c:crosses val="autoZero"/>
        <c:auto val="0"/>
        <c:lblAlgn val="ctr"/>
        <c:lblOffset val="100"/>
        <c:noMultiLvlLbl val="0"/>
      </c:catAx>
      <c:valAx>
        <c:axId val="932440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3242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000152588201052"/>
          <c:y val="0.44097371749443082"/>
          <c:w val="0.23958382076786472"/>
          <c:h val="0.2500008477133779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 2, on-site</a:t>
            </a:r>
          </a:p>
        </c:rich>
      </c:tx>
      <c:layout>
        <c:manualLayout>
          <c:xMode val="edge"/>
          <c:yMode val="edge"/>
          <c:x val="0.37803116201604836"/>
          <c:y val="3.703695364104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131679401221005E-2"/>
          <c:y val="0.25473711214807404"/>
          <c:w val="0.62514737921932761"/>
          <c:h val="0.61473749377882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'Version 1 (GI1) on-site'!$A$56</c:f>
              <c:strCache>
                <c:ptCount val="1"/>
                <c:pt idx="0">
                  <c:v>version 1 On-site</c:v>
                </c:pt>
              </c:strCache>
            </c:strRef>
          </c:tx>
          <c:invertIfNegative val="0"/>
          <c:cat>
            <c:numRef>
              <c:f>'Version 1 (GI1) on-site'!$B$52:$I$52</c:f>
              <c:numCache>
                <c:formatCode>#\ ??/??</c:formatCode>
                <c:ptCount val="8"/>
                <c:pt idx="0">
                  <c:v>0.13333333333333333</c:v>
                </c:pt>
                <c:pt idx="1">
                  <c:v>0.22222222222222221</c:v>
                </c:pt>
                <c:pt idx="2">
                  <c:v>0.2857142857142857</c:v>
                </c:pt>
                <c:pt idx="3">
                  <c:v>0.33333333333333331</c:v>
                </c:pt>
                <c:pt idx="4">
                  <c:v>0.375</c:v>
                </c:pt>
                <c:pt idx="5">
                  <c:v>0.41666666666666669</c:v>
                </c:pt>
                <c:pt idx="6">
                  <c:v>0.44</c:v>
                </c:pt>
                <c:pt idx="7">
                  <c:v>0.5</c:v>
                </c:pt>
              </c:numCache>
            </c:numRef>
          </c:cat>
          <c:val>
            <c:numRef>
              <c:f>'Version 1 (GI1) on-site'!$B$56:$I$56</c:f>
              <c:numCache>
                <c:formatCode>0%</c:formatCode>
                <c:ptCount val="8"/>
                <c:pt idx="0">
                  <c:v>1.8382352941176471E-2</c:v>
                </c:pt>
                <c:pt idx="1">
                  <c:v>2.2058823529411766E-2</c:v>
                </c:pt>
                <c:pt idx="2">
                  <c:v>9.1911764705882359E-2</c:v>
                </c:pt>
                <c:pt idx="3">
                  <c:v>0.21691176470588236</c:v>
                </c:pt>
                <c:pt idx="4">
                  <c:v>0.22794117647058823</c:v>
                </c:pt>
                <c:pt idx="5">
                  <c:v>0.13235294117647059</c:v>
                </c:pt>
                <c:pt idx="6">
                  <c:v>0.13602941176470587</c:v>
                </c:pt>
                <c:pt idx="7">
                  <c:v>0.15441176470588236</c:v>
                </c:pt>
              </c:numCache>
            </c:numRef>
          </c:val>
        </c:ser>
        <c:ser>
          <c:idx val="1"/>
          <c:order val="1"/>
          <c:tx>
            <c:strRef>
              <c:f>'Version 1 (GI1) on-site'!$A$57</c:f>
              <c:strCache>
                <c:ptCount val="1"/>
                <c:pt idx="0">
                  <c:v>version 2 On-site</c:v>
                </c:pt>
              </c:strCache>
            </c:strRef>
          </c:tx>
          <c:invertIfNegative val="0"/>
          <c:val>
            <c:numRef>
              <c:f>'Version 1 (GI1) on-site'!$B$57:$I$57</c:f>
              <c:numCache>
                <c:formatCode>0%</c:formatCode>
                <c:ptCount val="8"/>
                <c:pt idx="0">
                  <c:v>2.3026315789473683E-2</c:v>
                </c:pt>
                <c:pt idx="1">
                  <c:v>7.2368421052631582E-2</c:v>
                </c:pt>
                <c:pt idx="2">
                  <c:v>0.13486842105263158</c:v>
                </c:pt>
                <c:pt idx="3">
                  <c:v>0.31907894736842107</c:v>
                </c:pt>
                <c:pt idx="4">
                  <c:v>0.21710526315789475</c:v>
                </c:pt>
                <c:pt idx="5">
                  <c:v>0.125</c:v>
                </c:pt>
                <c:pt idx="6">
                  <c:v>5.2631578947368418E-2</c:v>
                </c:pt>
                <c:pt idx="7">
                  <c:v>5.5921052631578948E-2</c:v>
                </c:pt>
              </c:numCache>
            </c:numRef>
          </c:val>
        </c:ser>
        <c:ser>
          <c:idx val="2"/>
          <c:order val="2"/>
          <c:tx>
            <c:strRef>
              <c:f>'Version 1 (GI1) on-site'!$A$58</c:f>
              <c:strCache>
                <c:ptCount val="1"/>
                <c:pt idx="0">
                  <c:v>version 3 On-site</c:v>
                </c:pt>
              </c:strCache>
            </c:strRef>
          </c:tx>
          <c:invertIfNegative val="0"/>
          <c:val>
            <c:numRef>
              <c:f>'Version 1 (GI1) on-site'!$B$58:$I$58</c:f>
              <c:numCache>
                <c:formatCode>0%</c:formatCode>
                <c:ptCount val="8"/>
                <c:pt idx="0">
                  <c:v>2.1874999999999999E-2</c:v>
                </c:pt>
                <c:pt idx="1">
                  <c:v>5.6250000000000001E-2</c:v>
                </c:pt>
                <c:pt idx="2">
                  <c:v>0.14687500000000001</c:v>
                </c:pt>
                <c:pt idx="3">
                  <c:v>0.3</c:v>
                </c:pt>
                <c:pt idx="4">
                  <c:v>0.1875</c:v>
                </c:pt>
                <c:pt idx="5">
                  <c:v>0.13125000000000001</c:v>
                </c:pt>
                <c:pt idx="6">
                  <c:v>7.4999999999999997E-2</c:v>
                </c:pt>
                <c:pt idx="7">
                  <c:v>8.1250000000000003E-2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01472"/>
        <c:axId val="93403008"/>
      </c:barChart>
      <c:catAx>
        <c:axId val="93401472"/>
        <c:scaling>
          <c:orientation val="minMax"/>
        </c:scaling>
        <c:delete val="0"/>
        <c:axPos val="b"/>
        <c:numFmt formatCode="#\ ??/??" sourceLinked="1"/>
        <c:majorTickMark val="out"/>
        <c:minorTickMark val="none"/>
        <c:tickLblPos val="nextTo"/>
        <c:txPr>
          <a:bodyPr rot="0" vert="horz" anchor="ctr" anchorCtr="1"/>
          <a:lstStyle/>
          <a:p>
            <a:pPr>
              <a:defRPr/>
            </a:pPr>
            <a:endParaRPr lang="en-US"/>
          </a:p>
        </c:txPr>
        <c:crossAx val="93403008"/>
        <c:crosses val="autoZero"/>
        <c:auto val="0"/>
        <c:lblAlgn val="ctr"/>
        <c:lblOffset val="100"/>
        <c:noMultiLvlLbl val="0"/>
      </c:catAx>
      <c:valAx>
        <c:axId val="93403008"/>
        <c:scaling>
          <c:orientation val="minMax"/>
          <c:max val="0.45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3401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856366286182351"/>
          <c:y val="0.44097371749443082"/>
          <c:w val="0.25054519536610526"/>
          <c:h val="0.2500008477133779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 1, on-line</a:t>
            </a:r>
          </a:p>
        </c:rich>
      </c:tx>
      <c:layout>
        <c:manualLayout>
          <c:xMode val="edge"/>
          <c:yMode val="edge"/>
          <c:x val="0.37803095410061832"/>
          <c:y val="3.703695364104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269818957733028E-2"/>
          <c:y val="0.25473711214807404"/>
          <c:w val="0.64269781925097835"/>
          <c:h val="0.61473749377882536"/>
        </c:manualLayout>
      </c:layout>
      <c:barChart>
        <c:barDir val="col"/>
        <c:grouping val="clustered"/>
        <c:varyColors val="0"/>
        <c:ser>
          <c:idx val="0"/>
          <c:order val="0"/>
          <c:tx>
            <c:v>version 1 on-line</c:v>
          </c:tx>
          <c:invertIfNegative val="0"/>
          <c:cat>
            <c:numRef>
              <c:f>'Version 1 (GI1) on-site'!$B$52:$I$52</c:f>
              <c:numCache>
                <c:formatCode>#\ ??/??</c:formatCode>
                <c:ptCount val="8"/>
                <c:pt idx="0">
                  <c:v>0.13333333333333333</c:v>
                </c:pt>
                <c:pt idx="1">
                  <c:v>0.22222222222222221</c:v>
                </c:pt>
                <c:pt idx="2">
                  <c:v>0.2857142857142857</c:v>
                </c:pt>
                <c:pt idx="3">
                  <c:v>0.33333333333333331</c:v>
                </c:pt>
                <c:pt idx="4">
                  <c:v>0.375</c:v>
                </c:pt>
                <c:pt idx="5">
                  <c:v>0.41666666666666669</c:v>
                </c:pt>
                <c:pt idx="6">
                  <c:v>0.44</c:v>
                </c:pt>
                <c:pt idx="7">
                  <c:v>0.5</c:v>
                </c:pt>
              </c:numCache>
            </c:numRef>
          </c:cat>
          <c:val>
            <c:numRef>
              <c:f>'Version 1 (GI1) on-site'!$Q$49:$X$49</c:f>
              <c:numCache>
                <c:formatCode>0%</c:formatCode>
                <c:ptCount val="8"/>
                <c:pt idx="0">
                  <c:v>8.8235294117647065E-2</c:v>
                </c:pt>
                <c:pt idx="1">
                  <c:v>5.6985294117647058E-2</c:v>
                </c:pt>
                <c:pt idx="2">
                  <c:v>0.10294117647058823</c:v>
                </c:pt>
                <c:pt idx="3">
                  <c:v>0.24080882352941177</c:v>
                </c:pt>
                <c:pt idx="4">
                  <c:v>0.18198529411764705</c:v>
                </c:pt>
                <c:pt idx="5">
                  <c:v>0.13419117647058823</c:v>
                </c:pt>
                <c:pt idx="6">
                  <c:v>9.9264705882352935E-2</c:v>
                </c:pt>
                <c:pt idx="7">
                  <c:v>9.5588235294117641E-2</c:v>
                </c:pt>
              </c:numCache>
            </c:numRef>
          </c:val>
        </c:ser>
        <c:ser>
          <c:idx val="1"/>
          <c:order val="1"/>
          <c:tx>
            <c:strRef>
              <c:f>'Version 1 (GI1) on-site'!$P$50</c:f>
              <c:strCache>
                <c:ptCount val="1"/>
                <c:pt idx="0">
                  <c:v>version 2 Online</c:v>
                </c:pt>
              </c:strCache>
            </c:strRef>
          </c:tx>
          <c:invertIfNegative val="0"/>
          <c:val>
            <c:numRef>
              <c:f>'Version 1 (GI1) on-site'!$Q$50:$X$50</c:f>
              <c:numCache>
                <c:formatCode>0%</c:formatCode>
                <c:ptCount val="8"/>
                <c:pt idx="0">
                  <c:v>5.2455357142857144E-2</c:v>
                </c:pt>
                <c:pt idx="1">
                  <c:v>5.46875E-2</c:v>
                </c:pt>
                <c:pt idx="2">
                  <c:v>0.15401785714285715</c:v>
                </c:pt>
                <c:pt idx="3">
                  <c:v>0.29129464285714285</c:v>
                </c:pt>
                <c:pt idx="4">
                  <c:v>0.13616071428571427</c:v>
                </c:pt>
                <c:pt idx="5">
                  <c:v>0.12611607142857142</c:v>
                </c:pt>
                <c:pt idx="6">
                  <c:v>8.4821428571428575E-2</c:v>
                </c:pt>
                <c:pt idx="7">
                  <c:v>0.10044642857142858</c:v>
                </c:pt>
              </c:numCache>
            </c:numRef>
          </c:val>
        </c:ser>
        <c:ser>
          <c:idx val="2"/>
          <c:order val="2"/>
          <c:tx>
            <c:strRef>
              <c:f>'Version 1 (GI1) on-site'!$P$51</c:f>
              <c:strCache>
                <c:ptCount val="1"/>
                <c:pt idx="0">
                  <c:v>version 3 Online</c:v>
                </c:pt>
              </c:strCache>
            </c:strRef>
          </c:tx>
          <c:invertIfNegative val="0"/>
          <c:val>
            <c:numRef>
              <c:f>'Version 1 (GI1) on-site'!$Q$51:$X$51</c:f>
              <c:numCache>
                <c:formatCode>0%</c:formatCode>
                <c:ptCount val="8"/>
                <c:pt idx="0">
                  <c:v>6.1936936936936936E-2</c:v>
                </c:pt>
                <c:pt idx="1">
                  <c:v>6.7567567567567571E-2</c:v>
                </c:pt>
                <c:pt idx="2">
                  <c:v>0.10022522522522523</c:v>
                </c:pt>
                <c:pt idx="3">
                  <c:v>0.29617117117117114</c:v>
                </c:pt>
                <c:pt idx="4">
                  <c:v>0.15653153153153154</c:v>
                </c:pt>
                <c:pt idx="5">
                  <c:v>0.13288288288288289</c:v>
                </c:pt>
                <c:pt idx="6">
                  <c:v>7.9954954954954957E-2</c:v>
                </c:pt>
                <c:pt idx="7">
                  <c:v>0.10472972972972973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0928"/>
        <c:axId val="93660288"/>
      </c:barChart>
      <c:catAx>
        <c:axId val="93420928"/>
        <c:scaling>
          <c:orientation val="minMax"/>
        </c:scaling>
        <c:delete val="0"/>
        <c:axPos val="b"/>
        <c:numFmt formatCode="#\ ??/??" sourceLinked="1"/>
        <c:majorTickMark val="out"/>
        <c:minorTickMark val="none"/>
        <c:tickLblPos val="nextTo"/>
        <c:crossAx val="93660288"/>
        <c:crosses val="autoZero"/>
        <c:auto val="0"/>
        <c:lblAlgn val="ctr"/>
        <c:lblOffset val="100"/>
        <c:noMultiLvlLbl val="0"/>
      </c:catAx>
      <c:valAx>
        <c:axId val="93660288"/>
        <c:scaling>
          <c:orientation val="minMax"/>
          <c:max val="0.45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3420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416820102579962"/>
          <c:y val="0.44097371749443082"/>
          <c:w val="0.23125047048028671"/>
          <c:h val="0.2500008477133779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 2, on-line</a:t>
            </a:r>
          </a:p>
        </c:rich>
      </c:tx>
      <c:layout>
        <c:manualLayout>
          <c:xMode val="edge"/>
          <c:yMode val="edge"/>
          <c:x val="0.37803092793040577"/>
          <c:y val="3.703695364104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547822201334503E-2"/>
          <c:y val="0.25473711214807404"/>
          <c:w val="0.62691858118544697"/>
          <c:h val="0.61473749377882536"/>
        </c:manualLayout>
      </c:layout>
      <c:barChart>
        <c:barDir val="col"/>
        <c:grouping val="clustered"/>
        <c:varyColors val="0"/>
        <c:ser>
          <c:idx val="0"/>
          <c:order val="0"/>
          <c:tx>
            <c:v>version 1 on-line</c:v>
          </c:tx>
          <c:invertIfNegative val="0"/>
          <c:cat>
            <c:numRef>
              <c:f>'Version 1 (GI1) on-site'!$B$52:$I$52</c:f>
              <c:numCache>
                <c:formatCode>#\ ??/??</c:formatCode>
                <c:ptCount val="8"/>
                <c:pt idx="0">
                  <c:v>0.13333333333333333</c:v>
                </c:pt>
                <c:pt idx="1">
                  <c:v>0.22222222222222221</c:v>
                </c:pt>
                <c:pt idx="2">
                  <c:v>0.2857142857142857</c:v>
                </c:pt>
                <c:pt idx="3">
                  <c:v>0.33333333333333331</c:v>
                </c:pt>
                <c:pt idx="4">
                  <c:v>0.375</c:v>
                </c:pt>
                <c:pt idx="5">
                  <c:v>0.41666666666666669</c:v>
                </c:pt>
                <c:pt idx="6">
                  <c:v>0.44</c:v>
                </c:pt>
                <c:pt idx="7">
                  <c:v>0.5</c:v>
                </c:pt>
              </c:numCache>
            </c:numRef>
          </c:cat>
          <c:val>
            <c:numRef>
              <c:f>'Version 1 (GI1) on-site'!$Q$56:$X$56</c:f>
              <c:numCache>
                <c:formatCode>0%</c:formatCode>
                <c:ptCount val="8"/>
                <c:pt idx="0">
                  <c:v>9.5588235294117641E-2</c:v>
                </c:pt>
                <c:pt idx="1">
                  <c:v>4.8713235294117647E-2</c:v>
                </c:pt>
                <c:pt idx="2">
                  <c:v>9.375E-2</c:v>
                </c:pt>
                <c:pt idx="3">
                  <c:v>0.21323529411764705</c:v>
                </c:pt>
                <c:pt idx="4">
                  <c:v>0.17095588235294118</c:v>
                </c:pt>
                <c:pt idx="5">
                  <c:v>0.12132352941176471</c:v>
                </c:pt>
                <c:pt idx="6">
                  <c:v>0.10386029411764706</c:v>
                </c:pt>
                <c:pt idx="7">
                  <c:v>0.15257352941176472</c:v>
                </c:pt>
              </c:numCache>
            </c:numRef>
          </c:val>
        </c:ser>
        <c:ser>
          <c:idx val="1"/>
          <c:order val="1"/>
          <c:tx>
            <c:strRef>
              <c:f>'Version 1 (GI1) on-site'!$P$57</c:f>
              <c:strCache>
                <c:ptCount val="1"/>
                <c:pt idx="0">
                  <c:v>version 2 Online</c:v>
                </c:pt>
              </c:strCache>
            </c:strRef>
          </c:tx>
          <c:invertIfNegative val="0"/>
          <c:val>
            <c:numRef>
              <c:f>'Version 1 (GI1) on-site'!$Q$57:$X$57</c:f>
              <c:numCache>
                <c:formatCode>0%</c:formatCode>
                <c:ptCount val="8"/>
                <c:pt idx="0">
                  <c:v>6.0267857142857144E-2</c:v>
                </c:pt>
                <c:pt idx="1">
                  <c:v>6.25E-2</c:v>
                </c:pt>
                <c:pt idx="2">
                  <c:v>0.10825892857142858</c:v>
                </c:pt>
                <c:pt idx="3">
                  <c:v>0.2622767857142857</c:v>
                </c:pt>
                <c:pt idx="4">
                  <c:v>0.140625</c:v>
                </c:pt>
                <c:pt idx="5">
                  <c:v>0.12388392857142858</c:v>
                </c:pt>
                <c:pt idx="6">
                  <c:v>7.4776785714285712E-2</c:v>
                </c:pt>
                <c:pt idx="7">
                  <c:v>0.16741071428571427</c:v>
                </c:pt>
              </c:numCache>
            </c:numRef>
          </c:val>
        </c:ser>
        <c:ser>
          <c:idx val="2"/>
          <c:order val="2"/>
          <c:tx>
            <c:strRef>
              <c:f>'Version 1 (GI1) on-site'!$P$58</c:f>
              <c:strCache>
                <c:ptCount val="1"/>
                <c:pt idx="0">
                  <c:v>version 3 Online</c:v>
                </c:pt>
              </c:strCache>
            </c:strRef>
          </c:tx>
          <c:invertIfNegative val="0"/>
          <c:val>
            <c:numRef>
              <c:f>'Version 1 (GI1) on-site'!$Q$58:$X$58</c:f>
              <c:numCache>
                <c:formatCode>0%</c:formatCode>
                <c:ptCount val="8"/>
                <c:pt idx="0">
                  <c:v>6.5315315315315314E-2</c:v>
                </c:pt>
                <c:pt idx="1">
                  <c:v>6.3063063063063057E-2</c:v>
                </c:pt>
                <c:pt idx="2">
                  <c:v>8.7837837837837843E-2</c:v>
                </c:pt>
                <c:pt idx="3">
                  <c:v>0.26351351351351349</c:v>
                </c:pt>
                <c:pt idx="4">
                  <c:v>0.15202702702702703</c:v>
                </c:pt>
                <c:pt idx="5">
                  <c:v>0.13288288288288289</c:v>
                </c:pt>
                <c:pt idx="6">
                  <c:v>9.6846846846846843E-2</c:v>
                </c:pt>
                <c:pt idx="7">
                  <c:v>0.13851351351351351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98304"/>
        <c:axId val="93708288"/>
      </c:barChart>
      <c:catAx>
        <c:axId val="93698304"/>
        <c:scaling>
          <c:orientation val="minMax"/>
        </c:scaling>
        <c:delete val="0"/>
        <c:axPos val="b"/>
        <c:numFmt formatCode="#\ ??/??" sourceLinked="1"/>
        <c:majorTickMark val="out"/>
        <c:minorTickMark val="none"/>
        <c:tickLblPos val="nextTo"/>
        <c:crossAx val="93708288"/>
        <c:crosses val="autoZero"/>
        <c:auto val="0"/>
        <c:lblAlgn val="ctr"/>
        <c:lblOffset val="100"/>
        <c:noMultiLvlLbl val="0"/>
      </c:catAx>
      <c:valAx>
        <c:axId val="93708288"/>
        <c:scaling>
          <c:orientation val="minMax"/>
          <c:max val="0.45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3698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179510329243048"/>
          <c:y val="0.44097371749443082"/>
          <c:w val="0.24507684828540444"/>
          <c:h val="0.2500008477133779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'consistency measures'!$A$4</c:f>
              <c:strCache>
                <c:ptCount val="1"/>
                <c:pt idx="0">
                  <c:v>waa</c:v>
                </c:pt>
              </c:strCache>
            </c:strRef>
          </c:tx>
          <c:marker>
            <c:spPr>
              <a:solidFill>
                <a:srgbClr val="C00000"/>
              </a:solidFill>
            </c:spPr>
          </c:marker>
          <c:cat>
            <c:strRef>
              <c:f>'consistency measures'!$B$1:$D$1</c:f>
              <c:strCache>
                <c:ptCount val="3"/>
                <c:pt idx="0">
                  <c:v>low </c:v>
                </c:pt>
                <c:pt idx="1">
                  <c:v>moderate</c:v>
                </c:pt>
                <c:pt idx="2">
                  <c:v>high</c:v>
                </c:pt>
              </c:strCache>
            </c:strRef>
          </c:cat>
          <c:val>
            <c:numRef>
              <c:f>'consistency measures'!$B$4:$D$4</c:f>
              <c:numCache>
                <c:formatCode>General</c:formatCode>
                <c:ptCount val="3"/>
                <c:pt idx="0">
                  <c:v>44.9</c:v>
                </c:pt>
                <c:pt idx="1">
                  <c:v>44.4</c:v>
                </c:pt>
                <c:pt idx="2">
                  <c:v>43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'consistency measures'!$A$5</c:f>
              <c:strCache>
                <c:ptCount val="1"/>
                <c:pt idx="0">
                  <c:v>stp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val>
            <c:numRef>
              <c:f>'consistency measures'!$B$5:$D$5</c:f>
              <c:numCache>
                <c:formatCode>General</c:formatCode>
                <c:ptCount val="3"/>
                <c:pt idx="0">
                  <c:v>63</c:v>
                </c:pt>
                <c:pt idx="1">
                  <c:v>45</c:v>
                </c:pt>
                <c:pt idx="2">
                  <c:v>34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'consistency measures'!$A$8</c:f>
              <c:strCache>
                <c:ptCount val="1"/>
                <c:pt idx="0">
                  <c:v>was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val>
            <c:numRef>
              <c:f>'consistency measures'!$B$8:$D$8</c:f>
              <c:numCache>
                <c:formatCode>General</c:formatCode>
                <c:ptCount val="3"/>
                <c:pt idx="0">
                  <c:v>10.6</c:v>
                </c:pt>
                <c:pt idx="1">
                  <c:v>22.3</c:v>
                </c:pt>
                <c:pt idx="2">
                  <c:v>32.700000000000003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1600"/>
        <c:axId val="104283520"/>
      </c:lineChart>
      <c:catAx>
        <c:axId val="104281600"/>
        <c:scaling>
          <c:orientation val="minMax"/>
        </c:scaling>
        <c:delete val="0"/>
        <c:axPos val="b"/>
        <c:majorTickMark val="out"/>
        <c:minorTickMark val="none"/>
        <c:tickLblPos val="nextTo"/>
        <c:crossAx val="104283520"/>
        <c:crosses val="autoZero"/>
        <c:auto val="1"/>
        <c:lblAlgn val="ctr"/>
        <c:lblOffset val="100"/>
        <c:noMultiLvlLbl val="0"/>
      </c:catAx>
      <c:valAx>
        <c:axId val="104283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281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40</xdr:row>
      <xdr:rowOff>57150</xdr:rowOff>
    </xdr:from>
    <xdr:to>
      <xdr:col>18</xdr:col>
      <xdr:colOff>504825</xdr:colOff>
      <xdr:row>57</xdr:row>
      <xdr:rowOff>171450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60</xdr:row>
      <xdr:rowOff>0</xdr:rowOff>
    </xdr:from>
    <xdr:to>
      <xdr:col>18</xdr:col>
      <xdr:colOff>447675</xdr:colOff>
      <xdr:row>77</xdr:row>
      <xdr:rowOff>104775</xdr:rowOff>
    </xdr:to>
    <xdr:graphicFrame macro="">
      <xdr:nvGraphicFramePr>
        <xdr:cNvPr id="10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60</xdr:row>
      <xdr:rowOff>0</xdr:rowOff>
    </xdr:from>
    <xdr:to>
      <xdr:col>27</xdr:col>
      <xdr:colOff>447675</xdr:colOff>
      <xdr:row>77</xdr:row>
      <xdr:rowOff>104775</xdr:rowOff>
    </xdr:to>
    <xdr:graphicFrame macro="">
      <xdr:nvGraphicFramePr>
        <xdr:cNvPr id="102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27</xdr:col>
      <xdr:colOff>447675</xdr:colOff>
      <xdr:row>57</xdr:row>
      <xdr:rowOff>104775</xdr:rowOff>
    </xdr:to>
    <xdr:graphicFrame macro="">
      <xdr:nvGraphicFramePr>
        <xdr:cNvPr id="102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104775</xdr:rowOff>
    </xdr:from>
    <xdr:to>
      <xdr:col>6</xdr:col>
      <xdr:colOff>552450</xdr:colOff>
      <xdr:row>73</xdr:row>
      <xdr:rowOff>180975</xdr:rowOff>
    </xdr:to>
    <xdr:graphicFrame macro="">
      <xdr:nvGraphicFramePr>
        <xdr:cNvPr id="204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561975</xdr:colOff>
      <xdr:row>59</xdr:row>
      <xdr:rowOff>104775</xdr:rowOff>
    </xdr:from>
    <xdr:to>
      <xdr:col>14</xdr:col>
      <xdr:colOff>285750</xdr:colOff>
      <xdr:row>73</xdr:row>
      <xdr:rowOff>180975</xdr:rowOff>
    </xdr:to>
    <xdr:graphicFrame macro="">
      <xdr:nvGraphicFramePr>
        <xdr:cNvPr id="205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0</xdr:rowOff>
    </xdr:from>
    <xdr:to>
      <xdr:col>6</xdr:col>
      <xdr:colOff>552450</xdr:colOff>
      <xdr:row>89</xdr:row>
      <xdr:rowOff>76200</xdr:rowOff>
    </xdr:to>
    <xdr:graphicFrame macro="">
      <xdr:nvGraphicFramePr>
        <xdr:cNvPr id="20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75</xdr:row>
      <xdr:rowOff>0</xdr:rowOff>
    </xdr:from>
    <xdr:to>
      <xdr:col>14</xdr:col>
      <xdr:colOff>285750</xdr:colOff>
      <xdr:row>89</xdr:row>
      <xdr:rowOff>76200</xdr:rowOff>
    </xdr:to>
    <xdr:graphicFrame macro="">
      <xdr:nvGraphicFramePr>
        <xdr:cNvPr id="20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0</xdr:row>
      <xdr:rowOff>161925</xdr:rowOff>
    </xdr:from>
    <xdr:to>
      <xdr:col>12</xdr:col>
      <xdr:colOff>152400</xdr:colOff>
      <xdr:row>15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457200</xdr:colOff>
      <xdr:row>16</xdr:row>
      <xdr:rowOff>142875</xdr:rowOff>
    </xdr:from>
    <xdr:to>
      <xdr:col>12</xdr:col>
      <xdr:colOff>152400</xdr:colOff>
      <xdr:row>31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428625</xdr:colOff>
      <xdr:row>33</xdr:row>
      <xdr:rowOff>47625</xdr:rowOff>
    </xdr:from>
    <xdr:to>
      <xdr:col>12</xdr:col>
      <xdr:colOff>123825</xdr:colOff>
      <xdr:row>47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</xdr:colOff>
      <xdr:row>50</xdr:row>
      <xdr:rowOff>152399</xdr:rowOff>
    </xdr:from>
    <xdr:to>
      <xdr:col>14</xdr:col>
      <xdr:colOff>57150</xdr:colOff>
      <xdr:row>68</xdr:row>
      <xdr:rowOff>85724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topLeftCell="A71" workbookViewId="0">
      <selection activeCell="C95" sqref="C95"/>
    </sheetView>
  </sheetViews>
  <sheetFormatPr defaultColWidth="8.7109375" defaultRowHeight="15" x14ac:dyDescent="0.25"/>
  <sheetData>
    <row r="1" spans="1:21" x14ac:dyDescent="0.25">
      <c r="A1" t="s">
        <v>110</v>
      </c>
      <c r="L1" t="s">
        <v>113</v>
      </c>
    </row>
    <row r="2" spans="1:21" x14ac:dyDescent="0.25">
      <c r="A2" s="1" t="s">
        <v>61</v>
      </c>
      <c r="J2" s="4"/>
      <c r="L2" s="1" t="s">
        <v>61</v>
      </c>
      <c r="U2" s="4"/>
    </row>
    <row r="3" spans="1:21" x14ac:dyDescent="0.25">
      <c r="A3" s="2" t="s">
        <v>55</v>
      </c>
      <c r="B3" s="24">
        <f>'Version 1 (GI1) on-site'!B16*100</f>
        <v>0.36764705882352938</v>
      </c>
      <c r="C3" s="24">
        <f>'Version 1 (GI1) on-site'!C16*100</f>
        <v>0</v>
      </c>
      <c r="D3" s="27">
        <f>'Version 1 (GI1) on-site'!D16*100</f>
        <v>3.6764705882352944</v>
      </c>
      <c r="E3" s="24">
        <f>'Version 1 (GI1) on-site'!E16*100</f>
        <v>4.0441176470588234</v>
      </c>
      <c r="F3" s="24">
        <f>'Version 1 (GI1) on-site'!F16*100</f>
        <v>2.2058823529411766</v>
      </c>
      <c r="G3" s="24">
        <f>'Version 1 (GI1) on-site'!G16*100</f>
        <v>1.4705882352941175</v>
      </c>
      <c r="H3" s="24">
        <f>'Version 1 (GI1) on-site'!H16*100</f>
        <v>0.73529411764705876</v>
      </c>
      <c r="I3" s="24">
        <f>'Version 1 (GI1) on-site'!I16*100</f>
        <v>2.9411764705882351</v>
      </c>
      <c r="J3" s="25">
        <f>SUM(B3:I3)</f>
        <v>15.441176470588234</v>
      </c>
      <c r="L3" s="2" t="s">
        <v>55</v>
      </c>
      <c r="M3" s="24">
        <f>'Version 1 (GI1) on-line'!B16*100</f>
        <v>1.3786764705882353</v>
      </c>
      <c r="N3" s="24">
        <f>'Version 1 (GI1) on-line'!C16*100</f>
        <v>0.64338235294117641</v>
      </c>
      <c r="O3" s="24">
        <f>'Version 1 (GI1) on-line'!D16*100</f>
        <v>0.73529411764705876</v>
      </c>
      <c r="P3" s="24">
        <f>'Version 1 (GI1) on-line'!E16*100</f>
        <v>3.4926470588235294</v>
      </c>
      <c r="Q3" s="24">
        <f>'Version 1 (GI1) on-line'!F16*100</f>
        <v>2.5735294117647056</v>
      </c>
      <c r="R3" s="24">
        <f>'Version 1 (GI1) on-line'!G16*100</f>
        <v>1.3786764705882353</v>
      </c>
      <c r="S3" s="24">
        <f>'Version 1 (GI1) on-line'!H16*100</f>
        <v>1.3786764705882353</v>
      </c>
      <c r="T3" s="24">
        <f>'Version 1 (GI1) on-line'!I16*100</f>
        <v>3.6764705882352944</v>
      </c>
      <c r="U3" s="25">
        <f>SUM(M3:T3)</f>
        <v>15.257352941176471</v>
      </c>
    </row>
    <row r="4" spans="1:21" x14ac:dyDescent="0.25">
      <c r="A4" s="3" t="s">
        <v>56</v>
      </c>
      <c r="B4" s="24">
        <f>'Version 1 (GI1) on-site'!B17*100</f>
        <v>0.36764705882352938</v>
      </c>
      <c r="C4" s="24">
        <f>'Version 1 (GI1) on-site'!C17*100</f>
        <v>0.36764705882352938</v>
      </c>
      <c r="D4" s="24">
        <f>'Version 1 (GI1) on-site'!D17*100</f>
        <v>2.2058823529411766</v>
      </c>
      <c r="E4" s="24">
        <f>'Version 1 (GI1) on-site'!E17*100</f>
        <v>3.3088235294117649</v>
      </c>
      <c r="F4" s="24">
        <f>'Version 1 (GI1) on-site'!F17*100</f>
        <v>1.1029411764705883</v>
      </c>
      <c r="G4" s="24">
        <f>'Version 1 (GI1) on-site'!G17*100</f>
        <v>1.4705882352941175</v>
      </c>
      <c r="H4" s="24">
        <f>'Version 1 (GI1) on-site'!H17*100</f>
        <v>1.8382352941176472</v>
      </c>
      <c r="I4" s="24">
        <f>'Version 1 (GI1) on-site'!I17*100</f>
        <v>2.9411764705882351</v>
      </c>
      <c r="J4" s="25">
        <f t="shared" ref="J4:J10" si="0">SUM(B4:I4)</f>
        <v>13.602941176470589</v>
      </c>
      <c r="L4" s="3" t="s">
        <v>56</v>
      </c>
      <c r="M4" s="24">
        <f>'Version 1 (GI1) on-line'!B17*100</f>
        <v>0.27573529411764708</v>
      </c>
      <c r="N4" s="24">
        <f>'Version 1 (GI1) on-line'!C17*100</f>
        <v>0.4595588235294118</v>
      </c>
      <c r="O4" s="24">
        <f>'Version 1 (GI1) on-line'!D17*100</f>
        <v>0.82720588235294124</v>
      </c>
      <c r="P4" s="24">
        <f>'Version 1 (GI1) on-line'!E17*100</f>
        <v>1.3786764705882353</v>
      </c>
      <c r="Q4" s="24">
        <f>'Version 1 (GI1) on-line'!F17*100</f>
        <v>1.6544117647058825</v>
      </c>
      <c r="R4" s="24">
        <f>'Version 1 (GI1) on-line'!G17*100</f>
        <v>1.8382352941176472</v>
      </c>
      <c r="S4" s="24">
        <f>'Version 1 (GI1) on-line'!H17*100</f>
        <v>2.5735294117647056</v>
      </c>
      <c r="T4" s="24">
        <f>'Version 1 (GI1) on-line'!I17*100</f>
        <v>1.3786764705882353</v>
      </c>
      <c r="U4" s="25">
        <f t="shared" ref="U4:U10" si="1">SUM(M4:T4)</f>
        <v>10.386029411764707</v>
      </c>
    </row>
    <row r="5" spans="1:21" x14ac:dyDescent="0.25">
      <c r="A5" t="s">
        <v>57</v>
      </c>
      <c r="B5" s="24">
        <f>'Version 1 (GI1) on-site'!B18*100</f>
        <v>0</v>
      </c>
      <c r="C5" s="24">
        <f>'Version 1 (GI1) on-site'!C18*100</f>
        <v>0</v>
      </c>
      <c r="D5" s="24">
        <f>'Version 1 (GI1) on-site'!D18*100</f>
        <v>1.4705882352941175</v>
      </c>
      <c r="E5" s="24">
        <f>'Version 1 (GI1) on-site'!E18*100</f>
        <v>3.3088235294117649</v>
      </c>
      <c r="F5" s="24">
        <f>'Version 1 (GI1) on-site'!F18*100</f>
        <v>0.73529411764705876</v>
      </c>
      <c r="G5" s="24">
        <f>'Version 1 (GI1) on-site'!G18*100</f>
        <v>6.25</v>
      </c>
      <c r="H5" s="24">
        <f>'Version 1 (GI1) on-site'!H18*100</f>
        <v>1.1029411764705883</v>
      </c>
      <c r="I5" s="24">
        <f>'Version 1 (GI1) on-site'!I18*100</f>
        <v>0.36764705882352938</v>
      </c>
      <c r="J5" s="25">
        <f t="shared" si="0"/>
        <v>13.23529411764706</v>
      </c>
      <c r="L5" t="s">
        <v>57</v>
      </c>
      <c r="M5" s="24">
        <f>'Version 1 (GI1) on-line'!B18*100</f>
        <v>0.18382352941176469</v>
      </c>
      <c r="N5" s="24">
        <f>'Version 1 (GI1) on-line'!C18*100</f>
        <v>0.64338235294117641</v>
      </c>
      <c r="O5" s="24">
        <f>'Version 1 (GI1) on-line'!D18*100</f>
        <v>1.0110294117647058</v>
      </c>
      <c r="P5" s="24">
        <f>'Version 1 (GI1) on-line'!E18*100</f>
        <v>2.0220588235294117</v>
      </c>
      <c r="Q5" s="24">
        <f>'Version 1 (GI1) on-line'!F18*100</f>
        <v>2.4816176470588234</v>
      </c>
      <c r="R5" s="24">
        <f>'Version 1 (GI1) on-line'!G18*100</f>
        <v>3.9522058823529411</v>
      </c>
      <c r="S5" s="24">
        <f>'Version 1 (GI1) on-line'!H18*100</f>
        <v>1.2867647058823528</v>
      </c>
      <c r="T5" s="24">
        <f>'Version 1 (GI1) on-line'!I18*100</f>
        <v>0.55147058823529416</v>
      </c>
      <c r="U5" s="25">
        <f t="shared" si="1"/>
        <v>12.132352941176469</v>
      </c>
    </row>
    <row r="6" spans="1:21" x14ac:dyDescent="0.25">
      <c r="A6" t="s">
        <v>59</v>
      </c>
      <c r="B6" s="24">
        <f>'Version 1 (GI1) on-site'!B19*100</f>
        <v>0</v>
      </c>
      <c r="C6" s="24">
        <f>'Version 1 (GI1) on-site'!C19*100</f>
        <v>0</v>
      </c>
      <c r="D6" s="24">
        <f>'Version 1 (GI1) on-site'!D19*100</f>
        <v>2.5735294117647056</v>
      </c>
      <c r="E6" s="24">
        <f>'Version 1 (GI1) on-site'!E19*100</f>
        <v>10.294117647058822</v>
      </c>
      <c r="F6" s="24">
        <f>'Version 1 (GI1) on-site'!F19*100</f>
        <v>5.5147058823529411</v>
      </c>
      <c r="G6" s="24">
        <f>'Version 1 (GI1) on-site'!G19*100</f>
        <v>2.2058823529411766</v>
      </c>
      <c r="H6" s="24">
        <f>'Version 1 (GI1) on-site'!H19*100</f>
        <v>1.4705882352941175</v>
      </c>
      <c r="I6" s="24">
        <f>'Version 1 (GI1) on-site'!I19*100</f>
        <v>0.73529411764705876</v>
      </c>
      <c r="J6" s="25">
        <f t="shared" si="0"/>
        <v>22.794117647058822</v>
      </c>
      <c r="L6" t="s">
        <v>59</v>
      </c>
      <c r="M6" s="24">
        <f>'Version 1 (GI1) on-line'!B19*100</f>
        <v>0.18382352941176469</v>
      </c>
      <c r="N6" s="24">
        <f>'Version 1 (GI1) on-line'!C19*100</f>
        <v>0.4595588235294118</v>
      </c>
      <c r="O6" s="24">
        <f>'Version 1 (GI1) on-line'!D19*100</f>
        <v>1.1948529411764706</v>
      </c>
      <c r="P6" s="24">
        <f>'Version 1 (GI1) on-line'!E19*100</f>
        <v>5.3308823529411766</v>
      </c>
      <c r="Q6" s="24">
        <f>'Version 1 (GI1) on-line'!F19*100</f>
        <v>5.9742647058823533</v>
      </c>
      <c r="R6" s="24">
        <f>'Version 1 (GI1) on-line'!G19*100</f>
        <v>2.1139705882352944</v>
      </c>
      <c r="S6" s="24">
        <f>'Version 1 (GI1) on-line'!H19*100</f>
        <v>1.3786764705882353</v>
      </c>
      <c r="T6" s="24">
        <f>'Version 1 (GI1) on-line'!I19*100</f>
        <v>0.4595588235294118</v>
      </c>
      <c r="U6" s="25">
        <f t="shared" si="1"/>
        <v>17.09558823529412</v>
      </c>
    </row>
    <row r="7" spans="1:21" x14ac:dyDescent="0.25">
      <c r="A7" t="s">
        <v>60</v>
      </c>
      <c r="B7" s="24">
        <f>'Version 1 (GI1) on-site'!B20*100</f>
        <v>0</v>
      </c>
      <c r="C7" s="24">
        <f>'Version 1 (GI1) on-site'!C20*100</f>
        <v>0.36764705882352938</v>
      </c>
      <c r="D7" s="24">
        <f>'Version 1 (GI1) on-site'!D20*100</f>
        <v>1.8382352941176472</v>
      </c>
      <c r="E7" s="24">
        <f>'Version 1 (GI1) on-site'!E20*100</f>
        <v>11.76470588235294</v>
      </c>
      <c r="F7" s="24">
        <f>'Version 1 (GI1) on-site'!F20*100</f>
        <v>3.6764705882352944</v>
      </c>
      <c r="G7" s="24">
        <f>'Version 1 (GI1) on-site'!G20*100</f>
        <v>2.2058823529411766</v>
      </c>
      <c r="H7" s="24">
        <f>'Version 1 (GI1) on-site'!H20*100</f>
        <v>1.1029411764705883</v>
      </c>
      <c r="I7" s="24">
        <f>'Version 1 (GI1) on-site'!I20*100</f>
        <v>0.73529411764705876</v>
      </c>
      <c r="J7" s="25">
        <f t="shared" si="0"/>
        <v>21.691176470588232</v>
      </c>
      <c r="L7" t="s">
        <v>60</v>
      </c>
      <c r="M7" s="24">
        <f>'Version 1 (GI1) on-line'!B20*100</f>
        <v>0</v>
      </c>
      <c r="N7" s="24">
        <f>'Version 1 (GI1) on-line'!C20*100</f>
        <v>1.1029411764705883</v>
      </c>
      <c r="O7" s="24">
        <f>'Version 1 (GI1) on-line'!D20*100</f>
        <v>2.5735294117647056</v>
      </c>
      <c r="P7" s="24">
        <f>'Version 1 (GI1) on-line'!E20*100</f>
        <v>8.7316176470588225</v>
      </c>
      <c r="Q7" s="24">
        <f>'Version 1 (GI1) on-line'!F20*100</f>
        <v>4.3198529411764701</v>
      </c>
      <c r="R7" s="24">
        <f>'Version 1 (GI1) on-line'!G20*100</f>
        <v>2.2058823529411766</v>
      </c>
      <c r="S7" s="24">
        <f>'Version 1 (GI1) on-line'!H20*100</f>
        <v>1.3786764705882353</v>
      </c>
      <c r="T7" s="24">
        <f>'Version 1 (GI1) on-line'!I20*100</f>
        <v>1.0110294117647058</v>
      </c>
      <c r="U7" s="25">
        <f t="shared" si="1"/>
        <v>21.323529411764707</v>
      </c>
    </row>
    <row r="8" spans="1:21" x14ac:dyDescent="0.25">
      <c r="A8" t="s">
        <v>62</v>
      </c>
      <c r="B8" s="24">
        <f>'Version 1 (GI1) on-site'!B21*100</f>
        <v>0</v>
      </c>
      <c r="C8" s="24">
        <f>'Version 1 (GI1) on-site'!C21*100</f>
        <v>0</v>
      </c>
      <c r="D8" s="24">
        <f>'Version 1 (GI1) on-site'!D21*100</f>
        <v>3.3088235294117649</v>
      </c>
      <c r="E8" s="24">
        <f>'Version 1 (GI1) on-site'!E21*100</f>
        <v>2.9411764705882351</v>
      </c>
      <c r="F8" s="24">
        <f>'Version 1 (GI1) on-site'!F21*100</f>
        <v>1.4705882352941175</v>
      </c>
      <c r="G8" s="24">
        <f>'Version 1 (GI1) on-site'!G21*100</f>
        <v>1.1029411764705883</v>
      </c>
      <c r="H8" s="24">
        <f>'Version 1 (GI1) on-site'!H21*100</f>
        <v>0</v>
      </c>
      <c r="I8" s="24">
        <f>'Version 1 (GI1) on-site'!I21*100</f>
        <v>0.36764705882352938</v>
      </c>
      <c r="J8" s="25">
        <f t="shared" si="0"/>
        <v>9.1911764705882355</v>
      </c>
      <c r="L8" t="s">
        <v>62</v>
      </c>
      <c r="M8" s="24">
        <f>'Version 1 (GI1) on-line'!B21*100</f>
        <v>0.18382352941176469</v>
      </c>
      <c r="N8" s="24">
        <f>'Version 1 (GI1) on-line'!C21*100</f>
        <v>0.64338235294117641</v>
      </c>
      <c r="O8" s="24">
        <f>'Version 1 (GI1) on-line'!D21*100</f>
        <v>3.125</v>
      </c>
      <c r="P8" s="24">
        <f>'Version 1 (GI1) on-line'!E21*100</f>
        <v>2.0220588235294117</v>
      </c>
      <c r="Q8" s="24">
        <f>'Version 1 (GI1) on-line'!F21*100</f>
        <v>0.64338235294117641</v>
      </c>
      <c r="R8" s="24">
        <f>'Version 1 (GI1) on-line'!G21*100</f>
        <v>1.1029411764705883</v>
      </c>
      <c r="S8" s="24">
        <f>'Version 1 (GI1) on-line'!H21*100</f>
        <v>0.73529411764705876</v>
      </c>
      <c r="T8" s="24">
        <f>'Version 1 (GI1) on-line'!I21*100</f>
        <v>0.91911764705882359</v>
      </c>
      <c r="U8" s="25">
        <f t="shared" si="1"/>
        <v>9.375</v>
      </c>
    </row>
    <row r="9" spans="1:21" x14ac:dyDescent="0.25">
      <c r="A9" t="s">
        <v>63</v>
      </c>
      <c r="B9" s="24">
        <f>'Version 1 (GI1) on-site'!B22*100</f>
        <v>0</v>
      </c>
      <c r="C9" s="24">
        <f>'Version 1 (GI1) on-site'!C22*100</f>
        <v>0</v>
      </c>
      <c r="D9" s="24">
        <f>'Version 1 (GI1) on-site'!D22*100</f>
        <v>0.36764705882352938</v>
      </c>
      <c r="E9" s="24">
        <f>'Version 1 (GI1) on-site'!E22*100</f>
        <v>0.36764705882352938</v>
      </c>
      <c r="F9" s="24">
        <f>'Version 1 (GI1) on-site'!F22*100</f>
        <v>0.36764705882352938</v>
      </c>
      <c r="G9" s="24">
        <f>'Version 1 (GI1) on-site'!G22*100</f>
        <v>0.73529411764705876</v>
      </c>
      <c r="H9" s="24">
        <f>'Version 1 (GI1) on-site'!H22*100</f>
        <v>0.36764705882352938</v>
      </c>
      <c r="I9" s="24">
        <f>'Version 1 (GI1) on-site'!I22*100</f>
        <v>0</v>
      </c>
      <c r="J9" s="25">
        <f t="shared" si="0"/>
        <v>2.2058823529411762</v>
      </c>
      <c r="L9" t="s">
        <v>63</v>
      </c>
      <c r="M9" s="24">
        <f>'Version 1 (GI1) on-line'!B22*100</f>
        <v>0.27573529411764708</v>
      </c>
      <c r="N9" s="24">
        <f>'Version 1 (GI1) on-line'!C22*100</f>
        <v>1.7463235294117647</v>
      </c>
      <c r="O9" s="24">
        <f>'Version 1 (GI1) on-line'!D22*100</f>
        <v>0.55147058823529416</v>
      </c>
      <c r="P9" s="24">
        <f>'Version 1 (GI1) on-line'!E22*100</f>
        <v>0.55147058823529416</v>
      </c>
      <c r="Q9" s="24">
        <f>'Version 1 (GI1) on-line'!F22*100</f>
        <v>0.27573529411764708</v>
      </c>
      <c r="R9" s="24">
        <f>'Version 1 (GI1) on-line'!G22*100</f>
        <v>0.36764705882352938</v>
      </c>
      <c r="S9" s="24">
        <f>'Version 1 (GI1) on-line'!H22*100</f>
        <v>0.73529411764705876</v>
      </c>
      <c r="T9" s="24">
        <f>'Version 1 (GI1) on-line'!I22*100</f>
        <v>0.36764705882352938</v>
      </c>
      <c r="U9" s="25">
        <f t="shared" si="1"/>
        <v>4.8713235294117645</v>
      </c>
    </row>
    <row r="10" spans="1:21" x14ac:dyDescent="0.25">
      <c r="A10" t="s">
        <v>64</v>
      </c>
      <c r="B10" s="24">
        <f>'Version 1 (GI1) on-site'!B23*100</f>
        <v>0.36764705882352938</v>
      </c>
      <c r="C10" s="24">
        <f>'Version 1 (GI1) on-site'!C23*100</f>
        <v>0</v>
      </c>
      <c r="D10" s="24">
        <f>'Version 1 (GI1) on-site'!D23*100</f>
        <v>0</v>
      </c>
      <c r="E10" s="24">
        <f>'Version 1 (GI1) on-site'!E23*100</f>
        <v>0</v>
      </c>
      <c r="F10" s="24">
        <f>'Version 1 (GI1) on-site'!F23*100</f>
        <v>0</v>
      </c>
      <c r="G10" s="24">
        <f>'Version 1 (GI1) on-site'!G23*100</f>
        <v>0.73529411764705876</v>
      </c>
      <c r="H10" s="24">
        <f>'Version 1 (GI1) on-site'!H23*100</f>
        <v>0</v>
      </c>
      <c r="I10" s="24">
        <f>'Version 1 (GI1) on-site'!I23*100</f>
        <v>0.73529411764705876</v>
      </c>
      <c r="J10" s="25">
        <f t="shared" si="0"/>
        <v>1.8382352941176467</v>
      </c>
      <c r="L10" t="s">
        <v>64</v>
      </c>
      <c r="M10" s="24">
        <f>'Version 1 (GI1) on-line'!B23*100</f>
        <v>6.3419117647058822</v>
      </c>
      <c r="N10" s="24">
        <f>'Version 1 (GI1) on-line'!C23*100</f>
        <v>0</v>
      </c>
      <c r="O10" s="24">
        <f>'Version 1 (GI1) on-line'!D23*100</f>
        <v>0.27573529411764708</v>
      </c>
      <c r="P10" s="24">
        <f>'Version 1 (GI1) on-line'!E23*100</f>
        <v>0.55147058823529416</v>
      </c>
      <c r="Q10" s="24">
        <f>'Version 1 (GI1) on-line'!F23*100</f>
        <v>0.27573529411764708</v>
      </c>
      <c r="R10" s="24">
        <f>'Version 1 (GI1) on-line'!G23*100</f>
        <v>0.4595588235294118</v>
      </c>
      <c r="S10" s="24">
        <f>'Version 1 (GI1) on-line'!H23*100</f>
        <v>0.4595588235294118</v>
      </c>
      <c r="T10" s="24">
        <f>'Version 1 (GI1) on-line'!I23*100</f>
        <v>1.1948529411764706</v>
      </c>
      <c r="U10" s="25">
        <f t="shared" si="1"/>
        <v>9.5588235294117645</v>
      </c>
    </row>
    <row r="11" spans="1:21" x14ac:dyDescent="0.25">
      <c r="A11" s="5" t="s">
        <v>91</v>
      </c>
      <c r="B11" s="26">
        <f>SUM(B3:B10)</f>
        <v>1.1029411764705881</v>
      </c>
      <c r="C11" s="26">
        <f t="shared" ref="C11:I11" si="2">SUM(C3:C10)</f>
        <v>0.73529411764705876</v>
      </c>
      <c r="D11" s="26">
        <f t="shared" si="2"/>
        <v>15.441176470588234</v>
      </c>
      <c r="E11" s="26">
        <f t="shared" si="2"/>
        <v>36.029411764705877</v>
      </c>
      <c r="F11" s="26">
        <f t="shared" si="2"/>
        <v>15.073529411764705</v>
      </c>
      <c r="G11" s="26">
        <f t="shared" si="2"/>
        <v>16.176470588235297</v>
      </c>
      <c r="H11" s="26">
        <f t="shared" si="2"/>
        <v>6.617647058823529</v>
      </c>
      <c r="I11" s="26">
        <f t="shared" si="2"/>
        <v>8.8235294117647047</v>
      </c>
      <c r="J11" s="25">
        <f>SUM(B11:I11)</f>
        <v>100.00000000000001</v>
      </c>
      <c r="L11" s="5" t="s">
        <v>91</v>
      </c>
      <c r="M11" s="26">
        <f t="shared" ref="M11:T11" si="3">SUM(M3:M10)</f>
        <v>8.8235294117647065</v>
      </c>
      <c r="N11" s="26">
        <f t="shared" si="3"/>
        <v>5.6985294117647056</v>
      </c>
      <c r="O11" s="26">
        <f t="shared" si="3"/>
        <v>10.294117647058822</v>
      </c>
      <c r="P11" s="26">
        <f t="shared" si="3"/>
        <v>24.080882352941174</v>
      </c>
      <c r="Q11" s="26">
        <f t="shared" si="3"/>
        <v>18.19852941176471</v>
      </c>
      <c r="R11" s="26">
        <f t="shared" si="3"/>
        <v>13.419117647058822</v>
      </c>
      <c r="S11" s="26">
        <f t="shared" si="3"/>
        <v>9.9264705882352917</v>
      </c>
      <c r="T11" s="26">
        <f t="shared" si="3"/>
        <v>9.5588235294117663</v>
      </c>
      <c r="U11" s="25">
        <f>SUM(M11:T11)</f>
        <v>100</v>
      </c>
    </row>
    <row r="12" spans="1:21" x14ac:dyDescent="0.25">
      <c r="A12" s="5" t="s">
        <v>88</v>
      </c>
      <c r="B12" s="6" t="s">
        <v>64</v>
      </c>
      <c r="C12" s="6" t="s">
        <v>63</v>
      </c>
      <c r="D12" s="6" t="s">
        <v>62</v>
      </c>
      <c r="E12" s="6" t="s">
        <v>60</v>
      </c>
      <c r="F12" s="6" t="s">
        <v>59</v>
      </c>
      <c r="G12" s="6" t="s">
        <v>57</v>
      </c>
      <c r="H12" s="6" t="s">
        <v>89</v>
      </c>
      <c r="I12" s="6" t="s">
        <v>55</v>
      </c>
      <c r="J12" s="4"/>
      <c r="L12" s="5" t="s">
        <v>88</v>
      </c>
      <c r="M12" s="6" t="s">
        <v>64</v>
      </c>
      <c r="N12" s="6" t="s">
        <v>63</v>
      </c>
      <c r="O12" s="6" t="s">
        <v>62</v>
      </c>
      <c r="P12" s="6" t="s">
        <v>60</v>
      </c>
      <c r="Q12" s="6" t="s">
        <v>59</v>
      </c>
      <c r="R12" s="6" t="s">
        <v>57</v>
      </c>
      <c r="S12" s="6" t="s">
        <v>89</v>
      </c>
      <c r="T12" s="6" t="s">
        <v>55</v>
      </c>
      <c r="U12" s="4"/>
    </row>
    <row r="14" spans="1:21" x14ac:dyDescent="0.25">
      <c r="A14" t="s">
        <v>111</v>
      </c>
      <c r="L14" t="s">
        <v>114</v>
      </c>
    </row>
    <row r="15" spans="1:21" x14ac:dyDescent="0.25">
      <c r="A15" s="1" t="s">
        <v>61</v>
      </c>
      <c r="J15" s="4"/>
      <c r="L15" s="1" t="s">
        <v>61</v>
      </c>
      <c r="U15" s="4"/>
    </row>
    <row r="16" spans="1:21" x14ac:dyDescent="0.25">
      <c r="A16" s="2" t="s">
        <v>55</v>
      </c>
      <c r="B16" s="24">
        <f>'Version 2 (GI2) on-site'!B16*100</f>
        <v>0.3289473684210526</v>
      </c>
      <c r="C16" s="24">
        <f>'Version 2 (GI2) on-site'!C16*100</f>
        <v>0.98684210526315785</v>
      </c>
      <c r="D16" s="24">
        <f>'Version 2 (GI2) on-site'!D16*100</f>
        <v>0.3289473684210526</v>
      </c>
      <c r="E16" s="24">
        <f>'Version 2 (GI2) on-site'!E16*100</f>
        <v>1.6447368421052631</v>
      </c>
      <c r="F16" s="24">
        <f>'Version 2 (GI2) on-site'!F16*100</f>
        <v>0.6578947368421052</v>
      </c>
      <c r="G16" s="24">
        <f>'Version 2 (GI2) on-site'!G16*100</f>
        <v>1.3157894736842104</v>
      </c>
      <c r="H16" s="24">
        <f>'Version 2 (GI2) on-site'!H16*100</f>
        <v>0</v>
      </c>
      <c r="I16" s="24">
        <f>'Version 2 (GI2) on-site'!I16*100</f>
        <v>0.3289473684210526</v>
      </c>
      <c r="J16" s="25">
        <f>SUM(B16:I16)</f>
        <v>5.5921052631578938</v>
      </c>
      <c r="L16" s="2" t="s">
        <v>55</v>
      </c>
      <c r="M16" s="24">
        <f>'Version 2 (GI2) on-line'!B16*100</f>
        <v>0.6696428571428571</v>
      </c>
      <c r="N16" s="24">
        <f>'Version 2 (GI2) on-line'!C16*100</f>
        <v>0.78125</v>
      </c>
      <c r="O16" s="24">
        <f>'Version 2 (GI2) on-line'!D16*100</f>
        <v>1.4508928571428572</v>
      </c>
      <c r="P16" s="24">
        <f>'Version 2 (GI2) on-line'!E16*100</f>
        <v>3.125</v>
      </c>
      <c r="Q16" s="24">
        <f>'Version 2 (GI2) on-line'!F16*100</f>
        <v>0.89285714285714279</v>
      </c>
      <c r="R16" s="24">
        <f>'Version 2 (GI2) on-line'!G16*100</f>
        <v>2.34375</v>
      </c>
      <c r="S16" s="24">
        <f>'Version 2 (GI2) on-line'!H16*100</f>
        <v>2.1205357142857144</v>
      </c>
      <c r="T16" s="24">
        <f>'Version 2 (GI2) on-line'!I16*100</f>
        <v>5.3571428571428568</v>
      </c>
      <c r="U16" s="25">
        <f>SUM(M16:T16)</f>
        <v>16.741071428571431</v>
      </c>
    </row>
    <row r="17" spans="1:21" x14ac:dyDescent="0.25">
      <c r="A17" s="3" t="s">
        <v>56</v>
      </c>
      <c r="B17" s="24">
        <f>'Version 2 (GI2) on-site'!B17*100</f>
        <v>0</v>
      </c>
      <c r="C17" s="24">
        <f>'Version 2 (GI2) on-site'!C17*100</f>
        <v>0.3289473684210526</v>
      </c>
      <c r="D17" s="24">
        <f>'Version 2 (GI2) on-site'!D17*100</f>
        <v>1.9736842105263157</v>
      </c>
      <c r="E17" s="24">
        <f>'Version 2 (GI2) on-site'!E17*100</f>
        <v>0.6578947368421052</v>
      </c>
      <c r="F17" s="24">
        <f>'Version 2 (GI2) on-site'!F17*100</f>
        <v>1.3157894736842104</v>
      </c>
      <c r="G17" s="24">
        <f>'Version 2 (GI2) on-site'!G17*100</f>
        <v>0.3289473684210526</v>
      </c>
      <c r="H17" s="24">
        <f>'Version 2 (GI2) on-site'!H17*100</f>
        <v>0.6578947368421052</v>
      </c>
      <c r="I17" s="24">
        <f>'Version 2 (GI2) on-site'!I17*100</f>
        <v>0</v>
      </c>
      <c r="J17" s="25">
        <f t="shared" ref="J17:J23" si="4">SUM(B17:I17)</f>
        <v>5.2631578947368416</v>
      </c>
      <c r="L17" s="3" t="s">
        <v>56</v>
      </c>
      <c r="M17" s="24">
        <f>'Version 2 (GI2) on-line'!B17*100</f>
        <v>0</v>
      </c>
      <c r="N17" s="24">
        <f>'Version 2 (GI2) on-line'!C17*100</f>
        <v>0.5580357142857143</v>
      </c>
      <c r="O17" s="24">
        <f>'Version 2 (GI2) on-line'!D17*100</f>
        <v>1.0044642857142858</v>
      </c>
      <c r="P17" s="24">
        <f>'Version 2 (GI2) on-line'!E17*100</f>
        <v>1.1160714285714286</v>
      </c>
      <c r="Q17" s="24">
        <f>'Version 2 (GI2) on-line'!F17*100</f>
        <v>1.5625</v>
      </c>
      <c r="R17" s="24">
        <f>'Version 2 (GI2) on-line'!G17*100</f>
        <v>1.5625</v>
      </c>
      <c r="S17" s="24">
        <f>'Version 2 (GI2) on-line'!H17*100</f>
        <v>0.78125</v>
      </c>
      <c r="T17" s="24">
        <f>'Version 2 (GI2) on-line'!I17*100</f>
        <v>0.89285714285714279</v>
      </c>
      <c r="U17" s="25">
        <f t="shared" ref="U17:U23" si="5">SUM(M17:T17)</f>
        <v>7.4776785714285712</v>
      </c>
    </row>
    <row r="18" spans="1:21" x14ac:dyDescent="0.25">
      <c r="A18" t="s">
        <v>57</v>
      </c>
      <c r="B18" s="24">
        <f>'Version 2 (GI2) on-site'!B18*100</f>
        <v>0</v>
      </c>
      <c r="C18" s="24">
        <f>'Version 2 (GI2) on-site'!C18*100</f>
        <v>0</v>
      </c>
      <c r="D18" s="24">
        <f>'Version 2 (GI2) on-site'!D18*100</f>
        <v>2.6315789473684208</v>
      </c>
      <c r="E18" s="24">
        <f>'Version 2 (GI2) on-site'!E18*100</f>
        <v>4.9342105263157894</v>
      </c>
      <c r="F18" s="24">
        <f>'Version 2 (GI2) on-site'!F18*100</f>
        <v>2.6315789473684208</v>
      </c>
      <c r="G18" s="24">
        <f>'Version 2 (GI2) on-site'!G18*100</f>
        <v>1.6447368421052631</v>
      </c>
      <c r="H18" s="24">
        <f>'Version 2 (GI2) on-site'!H18*100</f>
        <v>0.6578947368421052</v>
      </c>
      <c r="I18" s="24">
        <f>'Version 2 (GI2) on-site'!I18*100</f>
        <v>0</v>
      </c>
      <c r="J18" s="25">
        <f t="shared" si="4"/>
        <v>12.5</v>
      </c>
      <c r="L18" t="s">
        <v>57</v>
      </c>
      <c r="M18" s="24">
        <f>'Version 2 (GI2) on-line'!B18*100</f>
        <v>0</v>
      </c>
      <c r="N18" s="24">
        <f>'Version 2 (GI2) on-line'!C18*100</f>
        <v>0.6696428571428571</v>
      </c>
      <c r="O18" s="24">
        <f>'Version 2 (GI2) on-line'!D18*100</f>
        <v>0.89285714285714279</v>
      </c>
      <c r="P18" s="24">
        <f>'Version 2 (GI2) on-line'!E18*100</f>
        <v>3.7946428571428568</v>
      </c>
      <c r="Q18" s="24">
        <f>'Version 2 (GI2) on-line'!F18*100</f>
        <v>1.5625</v>
      </c>
      <c r="R18" s="24">
        <f>'Version 2 (GI2) on-line'!G18*100</f>
        <v>3.125</v>
      </c>
      <c r="S18" s="24">
        <f>'Version 2 (GI2) on-line'!H18*100</f>
        <v>1.7857142857142856</v>
      </c>
      <c r="T18" s="24">
        <f>'Version 2 (GI2) on-line'!I18*100</f>
        <v>0.5580357142857143</v>
      </c>
      <c r="U18" s="25">
        <f t="shared" si="5"/>
        <v>12.388392857142856</v>
      </c>
    </row>
    <row r="19" spans="1:21" x14ac:dyDescent="0.25">
      <c r="A19" t="s">
        <v>59</v>
      </c>
      <c r="B19" s="24">
        <f>'Version 2 (GI2) on-site'!B19*100</f>
        <v>0</v>
      </c>
      <c r="C19" s="24">
        <f>'Version 2 (GI2) on-site'!C19*100</f>
        <v>0</v>
      </c>
      <c r="D19" s="24">
        <f>'Version 2 (GI2) on-site'!D19*100</f>
        <v>4.2763157894736841</v>
      </c>
      <c r="E19" s="24">
        <f>'Version 2 (GI2) on-site'!E19*100</f>
        <v>9.2105263157894726</v>
      </c>
      <c r="F19" s="24">
        <f>'Version 2 (GI2) on-site'!F19*100</f>
        <v>6.9078947368421062</v>
      </c>
      <c r="G19" s="24">
        <f>'Version 2 (GI2) on-site'!G19*100</f>
        <v>0.98684210526315785</v>
      </c>
      <c r="H19" s="24">
        <f>'Version 2 (GI2) on-site'!H19*100</f>
        <v>0.3289473684210526</v>
      </c>
      <c r="I19" s="24">
        <f>'Version 2 (GI2) on-site'!I19*100</f>
        <v>0</v>
      </c>
      <c r="J19" s="25">
        <f t="shared" si="4"/>
        <v>21.710526315789473</v>
      </c>
      <c r="L19" t="s">
        <v>59</v>
      </c>
      <c r="M19" s="24">
        <f>'Version 2 (GI2) on-line'!B19*100</f>
        <v>0.11160714285714285</v>
      </c>
      <c r="N19" s="24">
        <f>'Version 2 (GI2) on-line'!C19*100</f>
        <v>0.2232142857142857</v>
      </c>
      <c r="O19" s="24">
        <f>'Version 2 (GI2) on-line'!D19*100</f>
        <v>1.7857142857142856</v>
      </c>
      <c r="P19" s="24">
        <f>'Version 2 (GI2) on-line'!E19*100</f>
        <v>4.1294642857142856</v>
      </c>
      <c r="Q19" s="24">
        <f>'Version 2 (GI2) on-line'!F19*100</f>
        <v>4.7991071428571432</v>
      </c>
      <c r="R19" s="24">
        <f>'Version 2 (GI2) on-line'!G19*100</f>
        <v>2.0089285714285716</v>
      </c>
      <c r="S19" s="24">
        <f>'Version 2 (GI2) on-line'!H19*100</f>
        <v>0.6696428571428571</v>
      </c>
      <c r="T19" s="24">
        <f>'Version 2 (GI2) on-line'!I19*100</f>
        <v>0.33482142857142855</v>
      </c>
      <c r="U19" s="25">
        <f t="shared" si="5"/>
        <v>14.0625</v>
      </c>
    </row>
    <row r="20" spans="1:21" x14ac:dyDescent="0.25">
      <c r="A20" t="s">
        <v>60</v>
      </c>
      <c r="B20" s="24">
        <f>'Version 2 (GI2) on-site'!B20*100</f>
        <v>0</v>
      </c>
      <c r="C20" s="24">
        <f>'Version 2 (GI2) on-site'!C20*100</f>
        <v>0.3289473684210526</v>
      </c>
      <c r="D20" s="24">
        <f>'Version 2 (GI2) on-site'!D20*100</f>
        <v>7.2368421052631584</v>
      </c>
      <c r="E20" s="24">
        <f>'Version 2 (GI2) on-site'!E20*100</f>
        <v>16.118421052631579</v>
      </c>
      <c r="F20" s="24">
        <f>'Version 2 (GI2) on-site'!F20*100</f>
        <v>7.2368421052631584</v>
      </c>
      <c r="G20" s="24">
        <f>'Version 2 (GI2) on-site'!G20*100</f>
        <v>0.6578947368421052</v>
      </c>
      <c r="H20" s="24">
        <f>'Version 2 (GI2) on-site'!H20*100</f>
        <v>0</v>
      </c>
      <c r="I20" s="24">
        <f>'Version 2 (GI2) on-site'!I20*100</f>
        <v>0.3289473684210526</v>
      </c>
      <c r="J20" s="25">
        <f t="shared" si="4"/>
        <v>31.907894736842103</v>
      </c>
      <c r="L20" t="s">
        <v>60</v>
      </c>
      <c r="M20" s="24">
        <f>'Version 2 (GI2) on-line'!B20*100</f>
        <v>0</v>
      </c>
      <c r="N20" s="24">
        <f>'Version 2 (GI2) on-line'!C20*100</f>
        <v>0.89285714285714279</v>
      </c>
      <c r="O20" s="24">
        <f>'Version 2 (GI2) on-line'!D20*100</f>
        <v>3.6830357142857144</v>
      </c>
      <c r="P20" s="24">
        <f>'Version 2 (GI2) on-line'!E20*100</f>
        <v>12.611607142857142</v>
      </c>
      <c r="Q20" s="24">
        <f>'Version 2 (GI2) on-line'!F20*100</f>
        <v>3.5714285714285712</v>
      </c>
      <c r="R20" s="24">
        <f>'Version 2 (GI2) on-line'!G20*100</f>
        <v>2.2321428571428572</v>
      </c>
      <c r="S20" s="24">
        <f>'Version 2 (GI2) on-line'!H20*100</f>
        <v>2.0089285714285716</v>
      </c>
      <c r="T20" s="24">
        <f>'Version 2 (GI2) on-line'!I20*100</f>
        <v>1.2276785714285714</v>
      </c>
      <c r="U20" s="25">
        <f t="shared" si="5"/>
        <v>26.227678571428573</v>
      </c>
    </row>
    <row r="21" spans="1:21" x14ac:dyDescent="0.25">
      <c r="A21" t="s">
        <v>62</v>
      </c>
      <c r="B21" s="24">
        <f>'Version 2 (GI2) on-site'!B21*100</f>
        <v>0</v>
      </c>
      <c r="C21" s="24">
        <f>'Version 2 (GI2) on-site'!C21*100</f>
        <v>1.3157894736842104</v>
      </c>
      <c r="D21" s="24">
        <f>'Version 2 (GI2) on-site'!D21*100</f>
        <v>6.9078947368421062</v>
      </c>
      <c r="E21" s="24">
        <f>'Version 2 (GI2) on-site'!E21*100</f>
        <v>2.6315789473684208</v>
      </c>
      <c r="F21" s="24">
        <f>'Version 2 (GI2) on-site'!F21*100</f>
        <v>1.9736842105263157</v>
      </c>
      <c r="G21" s="24">
        <f>'Version 2 (GI2) on-site'!G21*100</f>
        <v>0.6578947368421052</v>
      </c>
      <c r="H21" s="24">
        <f>'Version 2 (GI2) on-site'!H21*100</f>
        <v>0</v>
      </c>
      <c r="I21" s="24">
        <f>'Version 2 (GI2) on-site'!I21*100</f>
        <v>0</v>
      </c>
      <c r="J21" s="25">
        <f t="shared" si="4"/>
        <v>13.486842105263158</v>
      </c>
      <c r="L21" t="s">
        <v>62</v>
      </c>
      <c r="M21" s="24">
        <f>'Version 2 (GI2) on-line'!B21*100</f>
        <v>0</v>
      </c>
      <c r="N21" s="24">
        <f>'Version 2 (GI2) on-line'!C21*100</f>
        <v>1.0044642857142858</v>
      </c>
      <c r="O21" s="24">
        <f>'Version 2 (GI2) on-line'!D21*100</f>
        <v>4.4642857142857144</v>
      </c>
      <c r="P21" s="24">
        <f>'Version 2 (GI2) on-line'!E21*100</f>
        <v>2.6785714285714284</v>
      </c>
      <c r="Q21" s="24">
        <f>'Version 2 (GI2) on-line'!F21*100</f>
        <v>1.1160714285714286</v>
      </c>
      <c r="R21" s="24">
        <f>'Version 2 (GI2) on-line'!G21*100</f>
        <v>1.0044642857142858</v>
      </c>
      <c r="S21" s="24">
        <f>'Version 2 (GI2) on-line'!H21*100</f>
        <v>0.11160714285714285</v>
      </c>
      <c r="T21" s="24">
        <f>'Version 2 (GI2) on-line'!I21*100</f>
        <v>0.4464285714285714</v>
      </c>
      <c r="U21" s="25">
        <f t="shared" si="5"/>
        <v>10.825892857142858</v>
      </c>
    </row>
    <row r="22" spans="1:21" x14ac:dyDescent="0.25">
      <c r="A22" t="s">
        <v>63</v>
      </c>
      <c r="B22" s="24">
        <f>'Version 2 (GI2) on-site'!B22*100</f>
        <v>0</v>
      </c>
      <c r="C22" s="24">
        <f>'Version 2 (GI2) on-site'!C22*100</f>
        <v>0.3289473684210526</v>
      </c>
      <c r="D22" s="24">
        <f>'Version 2 (GI2) on-site'!D22*100</f>
        <v>3.6184210526315792</v>
      </c>
      <c r="E22" s="24">
        <f>'Version 2 (GI2) on-site'!E22*100</f>
        <v>3.2894736842105261</v>
      </c>
      <c r="F22" s="24">
        <f>'Version 2 (GI2) on-site'!F22*100</f>
        <v>0</v>
      </c>
      <c r="G22" s="24">
        <f>'Version 2 (GI2) on-site'!G22*100</f>
        <v>0</v>
      </c>
      <c r="H22" s="24">
        <f>'Version 2 (GI2) on-site'!H22*100</f>
        <v>0</v>
      </c>
      <c r="I22" s="24">
        <f>'Version 2 (GI2) on-site'!I22*100</f>
        <v>0</v>
      </c>
      <c r="J22" s="25">
        <f t="shared" si="4"/>
        <v>7.2368421052631575</v>
      </c>
      <c r="L22" t="s">
        <v>63</v>
      </c>
      <c r="M22" s="24">
        <f>'Version 2 (GI2) on-line'!B22*100</f>
        <v>0.2232142857142857</v>
      </c>
      <c r="N22" s="24">
        <f>'Version 2 (GI2) on-line'!C22*100</f>
        <v>1.2276785714285714</v>
      </c>
      <c r="O22" s="24">
        <f>'Version 2 (GI2) on-line'!D22*100</f>
        <v>2.1205357142857144</v>
      </c>
      <c r="P22" s="24">
        <f>'Version 2 (GI2) on-line'!E22*100</f>
        <v>1.4508928571428572</v>
      </c>
      <c r="Q22" s="24">
        <f>'Version 2 (GI2) on-line'!F22*100</f>
        <v>0</v>
      </c>
      <c r="R22" s="24">
        <f>'Version 2 (GI2) on-line'!G22*100</f>
        <v>0.2232142857142857</v>
      </c>
      <c r="S22" s="24">
        <f>'Version 2 (GI2) on-line'!H22*100</f>
        <v>0.6696428571428571</v>
      </c>
      <c r="T22" s="24">
        <f>'Version 2 (GI2) on-line'!I22*100</f>
        <v>0.33482142857142855</v>
      </c>
      <c r="U22" s="25">
        <f t="shared" si="5"/>
        <v>6.25</v>
      </c>
    </row>
    <row r="23" spans="1:21" x14ac:dyDescent="0.25">
      <c r="A23" t="s">
        <v>64</v>
      </c>
      <c r="B23" s="24">
        <f>'Version 2 (GI2) on-site'!B23*100</f>
        <v>0</v>
      </c>
      <c r="C23" s="24">
        <f>'Version 2 (GI2) on-site'!C23*100</f>
        <v>0</v>
      </c>
      <c r="D23" s="24">
        <f>'Version 2 (GI2) on-site'!D23*100</f>
        <v>0.3289473684210526</v>
      </c>
      <c r="E23" s="24">
        <f>'Version 2 (GI2) on-site'!E23*100</f>
        <v>0</v>
      </c>
      <c r="F23" s="24">
        <f>'Version 2 (GI2) on-site'!F23*100</f>
        <v>0.6578947368421052</v>
      </c>
      <c r="G23" s="24">
        <f>'Version 2 (GI2) on-site'!G23*100</f>
        <v>0</v>
      </c>
      <c r="H23" s="24">
        <f>'Version 2 (GI2) on-site'!H23*100</f>
        <v>0.3289473684210526</v>
      </c>
      <c r="I23" s="24">
        <f>'Version 2 (GI2) on-site'!I23*100</f>
        <v>0.98684210526315785</v>
      </c>
      <c r="J23" s="25">
        <f t="shared" si="4"/>
        <v>2.3026315789473681</v>
      </c>
      <c r="L23" t="s">
        <v>64</v>
      </c>
      <c r="M23" s="24">
        <f>'Version 2 (GI2) on-line'!B23*100</f>
        <v>4.2410714285714288</v>
      </c>
      <c r="N23" s="24">
        <f>'Version 2 (GI2) on-line'!C23*100</f>
        <v>0.11160714285714285</v>
      </c>
      <c r="O23" s="24">
        <f>'Version 2 (GI2) on-line'!D23*100</f>
        <v>0</v>
      </c>
      <c r="P23" s="24">
        <f>'Version 2 (GI2) on-line'!E23*100</f>
        <v>0.2232142857142857</v>
      </c>
      <c r="Q23" s="24">
        <f>'Version 2 (GI2) on-line'!F23*100</f>
        <v>0.11160714285714285</v>
      </c>
      <c r="R23" s="24">
        <f>'Version 2 (GI2) on-line'!G23*100</f>
        <v>0.11160714285714285</v>
      </c>
      <c r="S23" s="24">
        <f>'Version 2 (GI2) on-line'!H23*100</f>
        <v>0.33482142857142855</v>
      </c>
      <c r="T23" s="24">
        <f>'Version 2 (GI2) on-line'!I23*100</f>
        <v>0.89285714285714279</v>
      </c>
      <c r="U23" s="25">
        <f t="shared" si="5"/>
        <v>6.0267857142857153</v>
      </c>
    </row>
    <row r="24" spans="1:21" x14ac:dyDescent="0.25">
      <c r="A24" s="5" t="s">
        <v>91</v>
      </c>
      <c r="B24" s="26">
        <f t="shared" ref="B24:I24" si="6">SUM(B16:B23)</f>
        <v>0.3289473684210526</v>
      </c>
      <c r="C24" s="26">
        <f t="shared" si="6"/>
        <v>3.2894736842105261</v>
      </c>
      <c r="D24" s="26">
        <f t="shared" si="6"/>
        <v>27.302631578947366</v>
      </c>
      <c r="E24" s="26">
        <f t="shared" si="6"/>
        <v>38.48684210526315</v>
      </c>
      <c r="F24" s="26">
        <f t="shared" si="6"/>
        <v>21.381578947368421</v>
      </c>
      <c r="G24" s="26">
        <f t="shared" si="6"/>
        <v>5.5921052631578947</v>
      </c>
      <c r="H24" s="26">
        <f t="shared" si="6"/>
        <v>1.9736842105263157</v>
      </c>
      <c r="I24" s="26">
        <f t="shared" si="6"/>
        <v>1.6447368421052631</v>
      </c>
      <c r="J24" s="25">
        <f>SUM(B24:I24)</f>
        <v>99.999999999999986</v>
      </c>
      <c r="L24" s="5" t="s">
        <v>91</v>
      </c>
      <c r="M24" s="26">
        <f t="shared" ref="M24:T24" si="7">SUM(M16:M23)</f>
        <v>5.2455357142857144</v>
      </c>
      <c r="N24" s="26">
        <f t="shared" si="7"/>
        <v>5.46875</v>
      </c>
      <c r="O24" s="26">
        <f t="shared" si="7"/>
        <v>15.401785714285715</v>
      </c>
      <c r="P24" s="26">
        <f t="shared" si="7"/>
        <v>29.129464285714281</v>
      </c>
      <c r="Q24" s="26">
        <f t="shared" si="7"/>
        <v>13.616071428571427</v>
      </c>
      <c r="R24" s="26">
        <f t="shared" si="7"/>
        <v>12.611607142857144</v>
      </c>
      <c r="S24" s="26">
        <f t="shared" si="7"/>
        <v>8.4821428571428577</v>
      </c>
      <c r="T24" s="26">
        <f t="shared" si="7"/>
        <v>10.044642857142858</v>
      </c>
      <c r="U24" s="25">
        <f>SUM(M24:T24)</f>
        <v>100</v>
      </c>
    </row>
    <row r="25" spans="1:21" x14ac:dyDescent="0.25">
      <c r="A25" s="5" t="s">
        <v>88</v>
      </c>
      <c r="B25" s="6" t="s">
        <v>64</v>
      </c>
      <c r="C25" s="6" t="s">
        <v>63</v>
      </c>
      <c r="D25" s="6" t="s">
        <v>62</v>
      </c>
      <c r="E25" s="6" t="s">
        <v>60</v>
      </c>
      <c r="F25" s="6" t="s">
        <v>59</v>
      </c>
      <c r="G25" s="6" t="s">
        <v>57</v>
      </c>
      <c r="H25" s="6" t="s">
        <v>89</v>
      </c>
      <c r="I25" s="6" t="s">
        <v>55</v>
      </c>
      <c r="J25" s="4"/>
      <c r="L25" s="5" t="s">
        <v>88</v>
      </c>
      <c r="M25" s="6" t="s">
        <v>64</v>
      </c>
      <c r="N25" s="6" t="s">
        <v>63</v>
      </c>
      <c r="O25" s="6" t="s">
        <v>62</v>
      </c>
      <c r="P25" s="6" t="s">
        <v>60</v>
      </c>
      <c r="Q25" s="6" t="s">
        <v>59</v>
      </c>
      <c r="R25" s="6" t="s">
        <v>57</v>
      </c>
      <c r="S25" s="6" t="s">
        <v>89</v>
      </c>
      <c r="T25" s="6" t="s">
        <v>55</v>
      </c>
      <c r="U25" s="4"/>
    </row>
    <row r="26" spans="1:2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21" x14ac:dyDescent="0.25">
      <c r="A27" t="s">
        <v>112</v>
      </c>
      <c r="L27" t="s">
        <v>115</v>
      </c>
    </row>
    <row r="28" spans="1:21" x14ac:dyDescent="0.25">
      <c r="A28" s="1" t="s">
        <v>61</v>
      </c>
      <c r="J28" s="4"/>
      <c r="L28" s="1" t="s">
        <v>61</v>
      </c>
      <c r="U28" s="4"/>
    </row>
    <row r="29" spans="1:21" x14ac:dyDescent="0.25">
      <c r="A29" s="2" t="s">
        <v>55</v>
      </c>
      <c r="B29" s="24">
        <f>'Version 3 (GI3) on-site'!B16*100</f>
        <v>0.3125</v>
      </c>
      <c r="C29" s="24">
        <f>'Version 3 (GI3) on-site'!C16*100</f>
        <v>0.9375</v>
      </c>
      <c r="D29" s="24">
        <f>'Version 3 (GI3) on-site'!D16*100</f>
        <v>0.625</v>
      </c>
      <c r="E29" s="24">
        <f>'Version 3 (GI3) on-site'!E16*100</f>
        <v>2.1875</v>
      </c>
      <c r="F29" s="24">
        <f>'Version 3 (GI3) on-site'!F16*100</f>
        <v>2.1875</v>
      </c>
      <c r="G29" s="24">
        <f>'Version 3 (GI3) on-site'!G16*100</f>
        <v>0.3125</v>
      </c>
      <c r="H29" s="24">
        <f>'Version 3 (GI3) on-site'!H16*100</f>
        <v>0.625</v>
      </c>
      <c r="I29" s="24">
        <f>'Version 3 (GI3) on-site'!I16*100</f>
        <v>0.9375</v>
      </c>
      <c r="J29" s="25">
        <f>SUM(B29:I29)</f>
        <v>8.125</v>
      </c>
      <c r="L29" s="2" t="s">
        <v>55</v>
      </c>
      <c r="M29" s="24">
        <f>'Version 3 (GI3) on-line'!B16*100</f>
        <v>1.2387387387387387</v>
      </c>
      <c r="N29" s="24">
        <f>'Version 3 (GI3) on-line'!C16*100</f>
        <v>0.78828828828828823</v>
      </c>
      <c r="O29" s="24">
        <f>'Version 3 (GI3) on-line'!D16*100</f>
        <v>0.56306306306306309</v>
      </c>
      <c r="P29" s="24">
        <f>'Version 3 (GI3) on-line'!E16*100</f>
        <v>2.1396396396396398</v>
      </c>
      <c r="Q29" s="24">
        <f>'Version 3 (GI3) on-line'!F16*100</f>
        <v>0.90090090090090091</v>
      </c>
      <c r="R29" s="24">
        <f>'Version 3 (GI3) on-line'!G16*100</f>
        <v>1.1261261261261262</v>
      </c>
      <c r="S29" s="24">
        <f>'Version 3 (GI3) on-line'!H16*100</f>
        <v>1.2387387387387387</v>
      </c>
      <c r="T29" s="24">
        <f>'Version 3 (GI3) on-line'!I16*100</f>
        <v>5.8558558558558556</v>
      </c>
      <c r="U29" s="25">
        <f>SUM(M29:T29)</f>
        <v>13.851351351351351</v>
      </c>
    </row>
    <row r="30" spans="1:21" x14ac:dyDescent="0.25">
      <c r="A30" s="3" t="s">
        <v>56</v>
      </c>
      <c r="B30" s="24">
        <f>'Version 3 (GI3) on-site'!B17*100</f>
        <v>0</v>
      </c>
      <c r="C30" s="24">
        <f>'Version 3 (GI3) on-site'!C17*100</f>
        <v>0.625</v>
      </c>
      <c r="D30" s="24">
        <f>'Version 3 (GI3) on-site'!D17*100</f>
        <v>1.5625</v>
      </c>
      <c r="E30" s="24">
        <f>'Version 3 (GI3) on-site'!E17*100</f>
        <v>3.125</v>
      </c>
      <c r="F30" s="24">
        <f>'Version 3 (GI3) on-site'!F17*100</f>
        <v>0.9375</v>
      </c>
      <c r="G30" s="24">
        <f>'Version 3 (GI3) on-site'!G17*100</f>
        <v>0.3125</v>
      </c>
      <c r="H30" s="24">
        <f>'Version 3 (GI3) on-site'!H17*100</f>
        <v>0.625</v>
      </c>
      <c r="I30" s="24">
        <f>'Version 3 (GI3) on-site'!I17*100</f>
        <v>0.3125</v>
      </c>
      <c r="J30" s="25">
        <f t="shared" ref="J30:J36" si="8">SUM(B30:I30)</f>
        <v>7.5</v>
      </c>
      <c r="L30" s="3" t="s">
        <v>56</v>
      </c>
      <c r="M30" s="24">
        <f>'Version 3 (GI3) on-line'!B17*100</f>
        <v>0.11261261261261261</v>
      </c>
      <c r="N30" s="24">
        <f>'Version 3 (GI3) on-line'!C17*100</f>
        <v>0.33783783783783783</v>
      </c>
      <c r="O30" s="24">
        <f>'Version 3 (GI3) on-line'!D17*100</f>
        <v>1.2387387387387387</v>
      </c>
      <c r="P30" s="24">
        <f>'Version 3 (GI3) on-line'!E17*100</f>
        <v>1.8018018018018018</v>
      </c>
      <c r="Q30" s="24">
        <f>'Version 3 (GI3) on-line'!F17*100</f>
        <v>1.4639639639639639</v>
      </c>
      <c r="R30" s="24">
        <f>'Version 3 (GI3) on-line'!G17*100</f>
        <v>1.2387387387387387</v>
      </c>
      <c r="S30" s="24">
        <f>'Version 3 (GI3) on-line'!H17*100</f>
        <v>2.5900900900900901</v>
      </c>
      <c r="T30" s="24">
        <f>'Version 3 (GI3) on-line'!I17*100</f>
        <v>0.90090090090090091</v>
      </c>
      <c r="U30" s="25">
        <f t="shared" ref="U30:U36" si="9">SUM(M30:T30)</f>
        <v>9.6846846846846848</v>
      </c>
    </row>
    <row r="31" spans="1:21" x14ac:dyDescent="0.25">
      <c r="A31" t="s">
        <v>57</v>
      </c>
      <c r="B31" s="24">
        <f>'Version 3 (GI3) on-site'!B18*100</f>
        <v>0</v>
      </c>
      <c r="C31" s="24">
        <f>'Version 3 (GI3) on-site'!C18*100</f>
        <v>0.3125</v>
      </c>
      <c r="D31" s="24">
        <f>'Version 3 (GI3) on-site'!D18*100</f>
        <v>2.5</v>
      </c>
      <c r="E31" s="24">
        <f>'Version 3 (GI3) on-site'!E18*100</f>
        <v>5.3125</v>
      </c>
      <c r="F31" s="24">
        <f>'Version 3 (GI3) on-site'!F18*100</f>
        <v>1.25</v>
      </c>
      <c r="G31" s="24">
        <f>'Version 3 (GI3) on-site'!G18*100</f>
        <v>2.1875</v>
      </c>
      <c r="H31" s="24">
        <f>'Version 3 (GI3) on-site'!H18*100</f>
        <v>0.625</v>
      </c>
      <c r="I31" s="24">
        <f>'Version 3 (GI3) on-site'!I18*100</f>
        <v>0.9375</v>
      </c>
      <c r="J31" s="25">
        <f t="shared" si="8"/>
        <v>13.125</v>
      </c>
      <c r="L31" t="s">
        <v>57</v>
      </c>
      <c r="M31" s="24">
        <f>'Version 3 (GI3) on-line'!B18*100</f>
        <v>0</v>
      </c>
      <c r="N31" s="24">
        <f>'Version 3 (GI3) on-line'!C18*100</f>
        <v>0.33783783783783783</v>
      </c>
      <c r="O31" s="24">
        <f>'Version 3 (GI3) on-line'!D18*100</f>
        <v>0.78828828828828823</v>
      </c>
      <c r="P31" s="24">
        <f>'Version 3 (GI3) on-line'!E18*100</f>
        <v>3.1531531531531529</v>
      </c>
      <c r="Q31" s="24">
        <f>'Version 3 (GI3) on-line'!F18*100</f>
        <v>1.8018018018018018</v>
      </c>
      <c r="R31" s="24">
        <f>'Version 3 (GI3) on-line'!G18*100</f>
        <v>4.3918918918918921</v>
      </c>
      <c r="S31" s="24">
        <f>'Version 3 (GI3) on-line'!H18*100</f>
        <v>1.3513513513513513</v>
      </c>
      <c r="T31" s="24">
        <f>'Version 3 (GI3) on-line'!I18*100</f>
        <v>1.4639639639639639</v>
      </c>
      <c r="U31" s="25">
        <f t="shared" si="9"/>
        <v>13.288288288288289</v>
      </c>
    </row>
    <row r="32" spans="1:21" x14ac:dyDescent="0.25">
      <c r="A32" t="s">
        <v>59</v>
      </c>
      <c r="B32" s="24">
        <f>'Version 3 (GI3) on-site'!B19*100</f>
        <v>0</v>
      </c>
      <c r="C32" s="24">
        <f>'Version 3 (GI3) on-site'!C19*100</f>
        <v>1.25</v>
      </c>
      <c r="D32" s="24">
        <f>'Version 3 (GI3) on-site'!D19*100</f>
        <v>4.0625</v>
      </c>
      <c r="E32" s="24">
        <f>'Version 3 (GI3) on-site'!E19*100</f>
        <v>5.625</v>
      </c>
      <c r="F32" s="24">
        <f>'Version 3 (GI3) on-site'!F19*100</f>
        <v>6.25</v>
      </c>
      <c r="G32" s="24">
        <f>'Version 3 (GI3) on-site'!G19*100</f>
        <v>0.9375</v>
      </c>
      <c r="H32" s="24">
        <f>'Version 3 (GI3) on-site'!H19*100</f>
        <v>0.625</v>
      </c>
      <c r="I32" s="24">
        <f>'Version 3 (GI3) on-site'!I19*100</f>
        <v>0</v>
      </c>
      <c r="J32" s="25">
        <f t="shared" si="8"/>
        <v>18.75</v>
      </c>
      <c r="L32" t="s">
        <v>59</v>
      </c>
      <c r="M32" s="24">
        <f>'Version 3 (GI3) on-line'!B19*100</f>
        <v>0.11261261261261261</v>
      </c>
      <c r="N32" s="24">
        <f>'Version 3 (GI3) on-line'!C19*100</f>
        <v>0.33783783783783783</v>
      </c>
      <c r="O32" s="24">
        <f>'Version 3 (GI3) on-line'!D19*100</f>
        <v>1.1261261261261262</v>
      </c>
      <c r="P32" s="24">
        <f>'Version 3 (GI3) on-line'!E19*100</f>
        <v>5.0675675675675675</v>
      </c>
      <c r="Q32" s="24">
        <f>'Version 3 (GI3) on-line'!F19*100</f>
        <v>5.2927927927927927</v>
      </c>
      <c r="R32" s="24">
        <f>'Version 3 (GI3) on-line'!G19*100</f>
        <v>2.1396396396396398</v>
      </c>
      <c r="S32" s="24">
        <f>'Version 3 (GI3) on-line'!H19*100</f>
        <v>0.67567567567567566</v>
      </c>
      <c r="T32" s="24">
        <f>'Version 3 (GI3) on-line'!I19*100</f>
        <v>0.45045045045045046</v>
      </c>
      <c r="U32" s="25">
        <f t="shared" si="9"/>
        <v>15.202702702702704</v>
      </c>
    </row>
    <row r="33" spans="1:21" x14ac:dyDescent="0.25">
      <c r="A33" t="s">
        <v>60</v>
      </c>
      <c r="B33" s="24">
        <f>'Version 3 (GI3) on-site'!B20*100</f>
        <v>0.3125</v>
      </c>
      <c r="C33" s="24">
        <f>'Version 3 (GI3) on-site'!C20*100</f>
        <v>0.625</v>
      </c>
      <c r="D33" s="24">
        <f>'Version 3 (GI3) on-site'!D20*100</f>
        <v>6.8750000000000009</v>
      </c>
      <c r="E33" s="24">
        <f>'Version 3 (GI3) on-site'!E20*100</f>
        <v>17.1875</v>
      </c>
      <c r="F33" s="24">
        <f>'Version 3 (GI3) on-site'!F20*100</f>
        <v>3.125</v>
      </c>
      <c r="G33" s="24">
        <f>'Version 3 (GI3) on-site'!G20*100</f>
        <v>1.25</v>
      </c>
      <c r="H33" s="24">
        <f>'Version 3 (GI3) on-site'!H20*100</f>
        <v>0.3125</v>
      </c>
      <c r="I33" s="24">
        <f>'Version 3 (GI3) on-site'!I20*100</f>
        <v>0.3125</v>
      </c>
      <c r="J33" s="25">
        <f t="shared" si="8"/>
        <v>30</v>
      </c>
      <c r="L33" t="s">
        <v>60</v>
      </c>
      <c r="M33" s="24">
        <f>'Version 3 (GI3) on-line'!B20*100</f>
        <v>0</v>
      </c>
      <c r="N33" s="24">
        <f>'Version 3 (GI3) on-line'!C20*100</f>
        <v>1.3513513513513513</v>
      </c>
      <c r="O33" s="24">
        <f>'Version 3 (GI3) on-line'!D20*100</f>
        <v>2.9279279279279278</v>
      </c>
      <c r="P33" s="24">
        <f>'Version 3 (GI3) on-line'!E20*100</f>
        <v>13.626126126126126</v>
      </c>
      <c r="Q33" s="24">
        <f>'Version 3 (GI3) on-line'!F20*100</f>
        <v>3.8288288288288284</v>
      </c>
      <c r="R33" s="24">
        <f>'Version 3 (GI3) on-line'!G20*100</f>
        <v>2.5900900900900901</v>
      </c>
      <c r="S33" s="24">
        <f>'Version 3 (GI3) on-line'!H20*100</f>
        <v>1.5765765765765765</v>
      </c>
      <c r="T33" s="24">
        <f>'Version 3 (GI3) on-line'!I20*100</f>
        <v>0.45045045045045046</v>
      </c>
      <c r="U33" s="25">
        <f t="shared" si="9"/>
        <v>26.351351351351351</v>
      </c>
    </row>
    <row r="34" spans="1:21" x14ac:dyDescent="0.25">
      <c r="A34" t="s">
        <v>62</v>
      </c>
      <c r="B34" s="24">
        <f>'Version 3 (GI3) on-site'!B21*100</f>
        <v>0</v>
      </c>
      <c r="C34" s="24">
        <f>'Version 3 (GI3) on-site'!C21*100</f>
        <v>0.625</v>
      </c>
      <c r="D34" s="24">
        <f>'Version 3 (GI3) on-site'!D21*100</f>
        <v>6.8750000000000009</v>
      </c>
      <c r="E34" s="24">
        <f>'Version 3 (GI3) on-site'!E21*100</f>
        <v>5.3125</v>
      </c>
      <c r="F34" s="24">
        <f>'Version 3 (GI3) on-site'!F21*100</f>
        <v>1.25</v>
      </c>
      <c r="G34" s="24">
        <f>'Version 3 (GI3) on-site'!G21*100</f>
        <v>0.3125</v>
      </c>
      <c r="H34" s="24">
        <f>'Version 3 (GI3) on-site'!H21*100</f>
        <v>0.3125</v>
      </c>
      <c r="I34" s="24">
        <f>'Version 3 (GI3) on-site'!I21*100</f>
        <v>0</v>
      </c>
      <c r="J34" s="25">
        <f t="shared" si="8"/>
        <v>14.6875</v>
      </c>
      <c r="L34" t="s">
        <v>62</v>
      </c>
      <c r="M34" s="24">
        <f>'Version 3 (GI3) on-line'!B21*100</f>
        <v>0.22522522522522523</v>
      </c>
      <c r="N34" s="24">
        <f>'Version 3 (GI3) on-line'!C21*100</f>
        <v>1.0135135135135136</v>
      </c>
      <c r="O34" s="24">
        <f>'Version 3 (GI3) on-line'!D21*100</f>
        <v>2.1396396396396398</v>
      </c>
      <c r="P34" s="24">
        <f>'Version 3 (GI3) on-line'!E21*100</f>
        <v>2.1396396396396398</v>
      </c>
      <c r="Q34" s="24">
        <f>'Version 3 (GI3) on-line'!F21*100</f>
        <v>1.4639639639639639</v>
      </c>
      <c r="R34" s="24">
        <f>'Version 3 (GI3) on-line'!G21*100</f>
        <v>1.0135135135135136</v>
      </c>
      <c r="S34" s="24">
        <f>'Version 3 (GI3) on-line'!H21*100</f>
        <v>0.45045045045045046</v>
      </c>
      <c r="T34" s="24">
        <f>'Version 3 (GI3) on-line'!I21*100</f>
        <v>0.33783783783783783</v>
      </c>
      <c r="U34" s="25">
        <f t="shared" si="9"/>
        <v>8.783783783783786</v>
      </c>
    </row>
    <row r="35" spans="1:21" x14ac:dyDescent="0.25">
      <c r="A35" t="s">
        <v>63</v>
      </c>
      <c r="B35" s="24">
        <f>'Version 3 (GI3) on-site'!B22*100</f>
        <v>0.3125</v>
      </c>
      <c r="C35" s="24">
        <f>'Version 3 (GI3) on-site'!C22*100</f>
        <v>1.875</v>
      </c>
      <c r="D35" s="24">
        <f>'Version 3 (GI3) on-site'!D22*100</f>
        <v>1.875</v>
      </c>
      <c r="E35" s="24">
        <f>'Version 3 (GI3) on-site'!E22*100</f>
        <v>1.25</v>
      </c>
      <c r="F35" s="24">
        <f>'Version 3 (GI3) on-site'!F22*100</f>
        <v>0.3125</v>
      </c>
      <c r="G35" s="24">
        <f>'Version 3 (GI3) on-site'!G22*100</f>
        <v>0</v>
      </c>
      <c r="H35" s="24">
        <f>'Version 3 (GI3) on-site'!H22*100</f>
        <v>0</v>
      </c>
      <c r="I35" s="24">
        <f>'Version 3 (GI3) on-site'!I22*100</f>
        <v>0</v>
      </c>
      <c r="J35" s="25">
        <f t="shared" si="8"/>
        <v>5.625</v>
      </c>
      <c r="L35" t="s">
        <v>63</v>
      </c>
      <c r="M35" s="24">
        <f>'Version 3 (GI3) on-line'!B22*100</f>
        <v>0.11261261261261261</v>
      </c>
      <c r="N35" s="24">
        <f>'Version 3 (GI3) on-line'!C22*100</f>
        <v>2.1396396396396398</v>
      </c>
      <c r="O35" s="24">
        <f>'Version 3 (GI3) on-line'!D22*100</f>
        <v>1.1261261261261262</v>
      </c>
      <c r="P35" s="24">
        <f>'Version 3 (GI3) on-line'!E22*100</f>
        <v>1.3513513513513513</v>
      </c>
      <c r="Q35" s="24">
        <f>'Version 3 (GI3) on-line'!F22*100</f>
        <v>0.67567567567567566</v>
      </c>
      <c r="R35" s="24">
        <f>'Version 3 (GI3) on-line'!G22*100</f>
        <v>0.45045045045045046</v>
      </c>
      <c r="S35" s="24">
        <f>'Version 3 (GI3) on-line'!H22*100</f>
        <v>0</v>
      </c>
      <c r="T35" s="24">
        <f>'Version 3 (GI3) on-line'!I22*100</f>
        <v>0.45045045045045046</v>
      </c>
      <c r="U35" s="25">
        <f t="shared" si="9"/>
        <v>6.3063063063063058</v>
      </c>
    </row>
    <row r="36" spans="1:21" x14ac:dyDescent="0.25">
      <c r="A36" t="s">
        <v>64</v>
      </c>
      <c r="B36" s="24">
        <f>'Version 3 (GI3) on-site'!B23*100</f>
        <v>1.25</v>
      </c>
      <c r="C36" s="24">
        <f>'Version 3 (GI3) on-site'!C23*100</f>
        <v>0</v>
      </c>
      <c r="D36" s="24">
        <f>'Version 3 (GI3) on-site'!D23*100</f>
        <v>0.625</v>
      </c>
      <c r="E36" s="24">
        <f>'Version 3 (GI3) on-site'!E23*100</f>
        <v>0.3125</v>
      </c>
      <c r="F36" s="24">
        <f>'Version 3 (GI3) on-site'!F23*100</f>
        <v>0</v>
      </c>
      <c r="G36" s="24">
        <f>'Version 3 (GI3) on-site'!G23*100</f>
        <v>0</v>
      </c>
      <c r="H36" s="24">
        <f>'Version 3 (GI3) on-site'!H23*100</f>
        <v>0</v>
      </c>
      <c r="I36" s="24">
        <f>'Version 3 (GI3) on-site'!I23*100</f>
        <v>0</v>
      </c>
      <c r="J36" s="25">
        <f t="shared" si="8"/>
        <v>2.1875</v>
      </c>
      <c r="L36" t="s">
        <v>64</v>
      </c>
      <c r="M36" s="24">
        <f>'Version 3 (GI3) on-line'!B23*100</f>
        <v>4.3918918918918921</v>
      </c>
      <c r="N36" s="24">
        <f>'Version 3 (GI3) on-line'!C23*100</f>
        <v>0.45045045045045046</v>
      </c>
      <c r="O36" s="24">
        <f>'Version 3 (GI3) on-line'!D23*100</f>
        <v>0.11261261261261261</v>
      </c>
      <c r="P36" s="24">
        <f>'Version 3 (GI3) on-line'!E23*100</f>
        <v>0.33783783783783783</v>
      </c>
      <c r="Q36" s="24">
        <f>'Version 3 (GI3) on-line'!F23*100</f>
        <v>0.22522522522522523</v>
      </c>
      <c r="R36" s="24">
        <f>'Version 3 (GI3) on-line'!G23*100</f>
        <v>0.33783783783783783</v>
      </c>
      <c r="S36" s="24">
        <f>'Version 3 (GI3) on-line'!H23*100</f>
        <v>0.11261261261261261</v>
      </c>
      <c r="T36" s="24">
        <f>'Version 3 (GI3) on-line'!I23*100</f>
        <v>0.56306306306306309</v>
      </c>
      <c r="U36" s="25">
        <f t="shared" si="9"/>
        <v>6.531531531531531</v>
      </c>
    </row>
    <row r="37" spans="1:21" x14ac:dyDescent="0.25">
      <c r="A37" s="5" t="s">
        <v>91</v>
      </c>
      <c r="B37" s="26">
        <f t="shared" ref="B37:I37" si="10">SUM(B29:B36)</f>
        <v>2.1875</v>
      </c>
      <c r="C37" s="26">
        <f t="shared" si="10"/>
        <v>6.25</v>
      </c>
      <c r="D37" s="26">
        <f t="shared" si="10"/>
        <v>25</v>
      </c>
      <c r="E37" s="26">
        <f t="shared" si="10"/>
        <v>40.3125</v>
      </c>
      <c r="F37" s="26">
        <f t="shared" si="10"/>
        <v>15.3125</v>
      </c>
      <c r="G37" s="26">
        <f t="shared" si="10"/>
        <v>5.3125</v>
      </c>
      <c r="H37" s="26">
        <f t="shared" si="10"/>
        <v>3.125</v>
      </c>
      <c r="I37" s="26">
        <f t="shared" si="10"/>
        <v>2.5</v>
      </c>
      <c r="J37" s="25">
        <f>SUM(B37:I37)</f>
        <v>100</v>
      </c>
      <c r="L37" s="5" t="s">
        <v>91</v>
      </c>
      <c r="M37" s="26">
        <f t="shared" ref="M37:T37" si="11">SUM(M29:M36)</f>
        <v>6.1936936936936942</v>
      </c>
      <c r="N37" s="26">
        <f t="shared" si="11"/>
        <v>6.7567567567567561</v>
      </c>
      <c r="O37" s="26">
        <f t="shared" si="11"/>
        <v>10.022522522522523</v>
      </c>
      <c r="P37" s="26">
        <f t="shared" si="11"/>
        <v>29.617117117117115</v>
      </c>
      <c r="Q37" s="26">
        <f t="shared" si="11"/>
        <v>15.653153153153154</v>
      </c>
      <c r="R37" s="26">
        <f t="shared" si="11"/>
        <v>13.288288288288291</v>
      </c>
      <c r="S37" s="26">
        <f t="shared" si="11"/>
        <v>7.9954954954954944</v>
      </c>
      <c r="T37" s="26">
        <f t="shared" si="11"/>
        <v>10.472972972972974</v>
      </c>
      <c r="U37" s="25">
        <f>SUM(M37:T37)</f>
        <v>99.999999999999986</v>
      </c>
    </row>
    <row r="38" spans="1:21" x14ac:dyDescent="0.25">
      <c r="A38" s="5" t="s">
        <v>88</v>
      </c>
      <c r="B38" s="6" t="s">
        <v>64</v>
      </c>
      <c r="C38" s="6" t="s">
        <v>63</v>
      </c>
      <c r="D38" s="6" t="s">
        <v>62</v>
      </c>
      <c r="E38" s="6" t="s">
        <v>60</v>
      </c>
      <c r="F38" s="6" t="s">
        <v>59</v>
      </c>
      <c r="G38" s="6" t="s">
        <v>57</v>
      </c>
      <c r="H38" s="6" t="s">
        <v>89</v>
      </c>
      <c r="I38" s="6" t="s">
        <v>55</v>
      </c>
      <c r="J38" s="4"/>
      <c r="L38" s="5" t="s">
        <v>88</v>
      </c>
      <c r="M38" s="6" t="s">
        <v>64</v>
      </c>
      <c r="N38" s="6" t="s">
        <v>63</v>
      </c>
      <c r="O38" s="6" t="s">
        <v>62</v>
      </c>
      <c r="P38" s="6" t="s">
        <v>60</v>
      </c>
      <c r="Q38" s="6" t="s">
        <v>59</v>
      </c>
      <c r="R38" s="6" t="s">
        <v>57</v>
      </c>
      <c r="S38" s="6" t="s">
        <v>89</v>
      </c>
      <c r="T38" s="6" t="s">
        <v>55</v>
      </c>
      <c r="U38" s="4"/>
    </row>
    <row r="40" spans="1:21" x14ac:dyDescent="0.25">
      <c r="A40" t="s">
        <v>128</v>
      </c>
    </row>
    <row r="41" spans="1:21" x14ac:dyDescent="0.25">
      <c r="A41" s="1" t="s">
        <v>61</v>
      </c>
      <c r="J41" s="4"/>
    </row>
    <row r="42" spans="1:21" x14ac:dyDescent="0.25">
      <c r="A42" s="2" t="s">
        <v>55</v>
      </c>
      <c r="B42" s="24">
        <f>'Version 4 (LI)'!B16*100</f>
        <v>0</v>
      </c>
      <c r="C42" s="24">
        <f>'Version 4 (LI)'!C16*100</f>
        <v>0.55555555555555558</v>
      </c>
      <c r="D42" s="24">
        <f>'Version 4 (LI)'!D16*100</f>
        <v>1.6666666666666667</v>
      </c>
      <c r="E42" s="24">
        <f>'Version 4 (LI)'!E16*100</f>
        <v>1.1111111111111112</v>
      </c>
      <c r="F42" s="24">
        <f>'Version 4 (LI)'!F16*100</f>
        <v>0</v>
      </c>
      <c r="G42" s="24">
        <f>'Version 4 (LI)'!G16*100</f>
        <v>0.83333333333333337</v>
      </c>
      <c r="H42" s="24">
        <f>'Version 4 (LI)'!H16*100</f>
        <v>0.55555555555555558</v>
      </c>
      <c r="I42" s="24">
        <f>'Version 4 (LI)'!I16*100</f>
        <v>2.2222222222222223</v>
      </c>
      <c r="J42" s="25">
        <f>SUM(B42:I42)</f>
        <v>6.9444444444444446</v>
      </c>
    </row>
    <row r="43" spans="1:21" x14ac:dyDescent="0.25">
      <c r="A43" s="3" t="s">
        <v>56</v>
      </c>
      <c r="B43" s="24">
        <f>'Version 4 (LI)'!B17*100</f>
        <v>0</v>
      </c>
      <c r="C43" s="24">
        <f>'Version 4 (LI)'!C17*100</f>
        <v>0.55555555555555558</v>
      </c>
      <c r="D43" s="24">
        <f>'Version 4 (LI)'!D17*100</f>
        <v>0.83333333333333337</v>
      </c>
      <c r="E43" s="24">
        <f>'Version 4 (LI)'!E17*100</f>
        <v>0.55555555555555558</v>
      </c>
      <c r="F43" s="24">
        <f>'Version 4 (LI)'!F17*100</f>
        <v>0.27777777777777779</v>
      </c>
      <c r="G43" s="24">
        <f>'Version 4 (LI)'!G17*100</f>
        <v>0.83333333333333337</v>
      </c>
      <c r="H43" s="24">
        <f>'Version 4 (LI)'!H17*100</f>
        <v>0.55555555555555558</v>
      </c>
      <c r="I43" s="24">
        <f>'Version 4 (LI)'!I17*100</f>
        <v>0.27777777777777779</v>
      </c>
      <c r="J43" s="25">
        <f t="shared" ref="J43:J49" si="12">SUM(B43:I43)</f>
        <v>3.8888888888888893</v>
      </c>
    </row>
    <row r="44" spans="1:21" x14ac:dyDescent="0.25">
      <c r="A44" t="s">
        <v>57</v>
      </c>
      <c r="B44" s="24">
        <f>'Version 4 (LI)'!B18*100</f>
        <v>0</v>
      </c>
      <c r="C44" s="24">
        <f>'Version 4 (LI)'!C18*100</f>
        <v>0</v>
      </c>
      <c r="D44" s="24">
        <f>'Version 4 (LI)'!D18*100</f>
        <v>3.0555555555555554</v>
      </c>
      <c r="E44" s="24">
        <f>'Version 4 (LI)'!E18*100</f>
        <v>6.1111111111111107</v>
      </c>
      <c r="F44" s="24">
        <f>'Version 4 (LI)'!F18*100</f>
        <v>6.3888888888888884</v>
      </c>
      <c r="G44" s="24">
        <f>'Version 4 (LI)'!G18*100</f>
        <v>4.1666666666666661</v>
      </c>
      <c r="H44" s="24">
        <f>'Version 4 (LI)'!H18*100</f>
        <v>0</v>
      </c>
      <c r="I44" s="24">
        <f>'Version 4 (LI)'!I18*100</f>
        <v>0</v>
      </c>
      <c r="J44" s="25">
        <f t="shared" si="12"/>
        <v>19.722222222222221</v>
      </c>
    </row>
    <row r="45" spans="1:21" x14ac:dyDescent="0.25">
      <c r="A45" t="s">
        <v>59</v>
      </c>
      <c r="B45" s="24">
        <f>'Version 4 (LI)'!B19*100</f>
        <v>0</v>
      </c>
      <c r="C45" s="24">
        <f>'Version 4 (LI)'!C19*100</f>
        <v>0.27777777777777779</v>
      </c>
      <c r="D45" s="24">
        <f>'Version 4 (LI)'!D19*100</f>
        <v>1.6666666666666667</v>
      </c>
      <c r="E45" s="24">
        <f>'Version 4 (LI)'!E19*100</f>
        <v>10.833333333333334</v>
      </c>
      <c r="F45" s="24">
        <f>'Version 4 (LI)'!F19*100</f>
        <v>5.2777777777777777</v>
      </c>
      <c r="G45" s="24">
        <f>'Version 4 (LI)'!G19*100</f>
        <v>2.7777777777777777</v>
      </c>
      <c r="H45" s="24">
        <f>'Version 4 (LI)'!H19*100</f>
        <v>0.55555555555555558</v>
      </c>
      <c r="I45" s="24">
        <f>'Version 4 (LI)'!I19*100</f>
        <v>0</v>
      </c>
      <c r="J45" s="25">
        <f t="shared" si="12"/>
        <v>21.388888888888893</v>
      </c>
    </row>
    <row r="46" spans="1:21" x14ac:dyDescent="0.25">
      <c r="A46" t="s">
        <v>60</v>
      </c>
      <c r="B46" s="24">
        <f>'Version 4 (LI)'!B20*100</f>
        <v>0</v>
      </c>
      <c r="C46" s="24">
        <f>'Version 4 (LI)'!C20*100</f>
        <v>1.3888888888888888</v>
      </c>
      <c r="D46" s="24">
        <f>'Version 4 (LI)'!D20*100</f>
        <v>5.5555555555555554</v>
      </c>
      <c r="E46" s="24">
        <f>'Version 4 (LI)'!E20*100</f>
        <v>16.388888888888889</v>
      </c>
      <c r="F46" s="24">
        <f>'Version 4 (LI)'!F20*100</f>
        <v>3.3333333333333335</v>
      </c>
      <c r="G46" s="24">
        <f>'Version 4 (LI)'!G20*100</f>
        <v>0.83333333333333337</v>
      </c>
      <c r="H46" s="24">
        <f>'Version 4 (LI)'!H20*100</f>
        <v>1.1111111111111112</v>
      </c>
      <c r="I46" s="24">
        <f>'Version 4 (LI)'!I20*100</f>
        <v>0.55555555555555558</v>
      </c>
      <c r="J46" s="25">
        <f t="shared" si="12"/>
        <v>29.166666666666668</v>
      </c>
    </row>
    <row r="47" spans="1:21" x14ac:dyDescent="0.25">
      <c r="A47" t="s">
        <v>62</v>
      </c>
      <c r="B47" s="24">
        <f>'Version 4 (LI)'!B21*100</f>
        <v>0</v>
      </c>
      <c r="C47" s="24">
        <f>'Version 4 (LI)'!C21*100</f>
        <v>0.55555555555555558</v>
      </c>
      <c r="D47" s="24">
        <f>'Version 4 (LI)'!D21*100</f>
        <v>4.7222222222222223</v>
      </c>
      <c r="E47" s="24">
        <f>'Version 4 (LI)'!E21*100</f>
        <v>3.0555555555555554</v>
      </c>
      <c r="F47" s="24">
        <f>'Version 4 (LI)'!F21*100</f>
        <v>0.27777777777777779</v>
      </c>
      <c r="G47" s="24">
        <f>'Version 4 (LI)'!G21*100</f>
        <v>0.83333333333333337</v>
      </c>
      <c r="H47" s="24">
        <f>'Version 4 (LI)'!H21*100</f>
        <v>0</v>
      </c>
      <c r="I47" s="24">
        <f>'Version 4 (LI)'!I21*100</f>
        <v>0</v>
      </c>
      <c r="J47" s="25">
        <f t="shared" si="12"/>
        <v>9.4444444444444446</v>
      </c>
    </row>
    <row r="48" spans="1:21" x14ac:dyDescent="0.25">
      <c r="A48" t="s">
        <v>63</v>
      </c>
      <c r="B48" s="24">
        <f>'Version 4 (LI)'!B22*100</f>
        <v>0</v>
      </c>
      <c r="C48" s="24">
        <f>'Version 4 (LI)'!C22*100</f>
        <v>3.3333333333333335</v>
      </c>
      <c r="D48" s="24">
        <f>'Version 4 (LI)'!D22*100</f>
        <v>2.2222222222222223</v>
      </c>
      <c r="E48" s="24">
        <f>'Version 4 (LI)'!E22*100</f>
        <v>1.9444444444444444</v>
      </c>
      <c r="F48" s="24">
        <f>'Version 4 (LI)'!F22*100</f>
        <v>0</v>
      </c>
      <c r="G48" s="24">
        <f>'Version 4 (LI)'!G22*100</f>
        <v>0.27777777777777779</v>
      </c>
      <c r="H48" s="24">
        <f>'Version 4 (LI)'!H22*100</f>
        <v>0</v>
      </c>
      <c r="I48" s="24">
        <f>'Version 4 (LI)'!I22*100</f>
        <v>0</v>
      </c>
      <c r="J48" s="25">
        <f t="shared" si="12"/>
        <v>7.7777777777777777</v>
      </c>
    </row>
    <row r="49" spans="1:10" x14ac:dyDescent="0.25">
      <c r="A49" t="s">
        <v>64</v>
      </c>
      <c r="B49" s="24">
        <f>'Version 4 (LI)'!B23*100</f>
        <v>0.27777777777777779</v>
      </c>
      <c r="C49" s="24">
        <f>'Version 4 (LI)'!C23*100</f>
        <v>0.55555555555555558</v>
      </c>
      <c r="D49" s="24">
        <f>'Version 4 (LI)'!D23*100</f>
        <v>0</v>
      </c>
      <c r="E49" s="24">
        <f>'Version 4 (LI)'!E23*100</f>
        <v>0</v>
      </c>
      <c r="F49" s="24">
        <f>'Version 4 (LI)'!F23*100</f>
        <v>0</v>
      </c>
      <c r="G49" s="24">
        <f>'Version 4 (LI)'!G23*100</f>
        <v>0</v>
      </c>
      <c r="H49" s="24">
        <f>'Version 4 (LI)'!H23*100</f>
        <v>0.55555555555555558</v>
      </c>
      <c r="I49" s="24">
        <f>'Version 4 (LI)'!I23*100</f>
        <v>0.27777777777777779</v>
      </c>
      <c r="J49" s="25">
        <f t="shared" si="12"/>
        <v>1.6666666666666665</v>
      </c>
    </row>
    <row r="50" spans="1:10" x14ac:dyDescent="0.25">
      <c r="A50" s="5" t="s">
        <v>91</v>
      </c>
      <c r="B50" s="26">
        <f t="shared" ref="B50:I50" si="13">SUM(B42:B49)</f>
        <v>0.27777777777777779</v>
      </c>
      <c r="C50" s="26">
        <f t="shared" si="13"/>
        <v>7.2222222222222214</v>
      </c>
      <c r="D50" s="26">
        <f t="shared" si="13"/>
        <v>19.722222222222221</v>
      </c>
      <c r="E50" s="26">
        <f t="shared" si="13"/>
        <v>40</v>
      </c>
      <c r="F50" s="26">
        <f t="shared" si="13"/>
        <v>15.555555555555555</v>
      </c>
      <c r="G50" s="26">
        <f t="shared" si="13"/>
        <v>10.555555555555557</v>
      </c>
      <c r="H50" s="26">
        <f t="shared" si="13"/>
        <v>3.333333333333333</v>
      </c>
      <c r="I50" s="26">
        <f t="shared" si="13"/>
        <v>3.333333333333333</v>
      </c>
      <c r="J50" s="25">
        <f>SUM(B50:I50)</f>
        <v>100</v>
      </c>
    </row>
    <row r="51" spans="1:10" x14ac:dyDescent="0.25">
      <c r="A51" s="5" t="s">
        <v>88</v>
      </c>
      <c r="B51" s="6" t="s">
        <v>64</v>
      </c>
      <c r="C51" s="6" t="s">
        <v>63</v>
      </c>
      <c r="D51" s="6" t="s">
        <v>62</v>
      </c>
      <c r="E51" s="6" t="s">
        <v>60</v>
      </c>
      <c r="F51" s="6" t="s">
        <v>59</v>
      </c>
      <c r="G51" s="6" t="s">
        <v>57</v>
      </c>
      <c r="H51" s="6" t="s">
        <v>89</v>
      </c>
      <c r="I51" s="6" t="s">
        <v>55</v>
      </c>
      <c r="J51" s="4"/>
    </row>
    <row r="53" spans="1:10" x14ac:dyDescent="0.25">
      <c r="A53" t="s">
        <v>4</v>
      </c>
    </row>
    <row r="54" spans="1:10" x14ac:dyDescent="0.25">
      <c r="A54" s="1" t="s">
        <v>61</v>
      </c>
      <c r="J54" s="4"/>
    </row>
    <row r="55" spans="1:10" x14ac:dyDescent="0.25">
      <c r="A55" s="2" t="s">
        <v>55</v>
      </c>
      <c r="B55" s="38">
        <f>'Version 5 (LE)'!B16*100</f>
        <v>0</v>
      </c>
      <c r="C55" s="38">
        <f>'Version 5 (LE)'!C16*100</f>
        <v>1.0273972602739725</v>
      </c>
      <c r="D55" s="38">
        <f>'Version 5 (LE)'!D16*100</f>
        <v>1.7123287671232876</v>
      </c>
      <c r="E55" s="38">
        <f>'Version 5 (LE)'!E16*100</f>
        <v>1.7123287671232876</v>
      </c>
      <c r="F55" s="38">
        <f>'Version 5 (LE)'!F16*100</f>
        <v>1.7123287671232876</v>
      </c>
      <c r="G55" s="38">
        <f>'Version 5 (LE)'!G16*100</f>
        <v>1.0273972602739725</v>
      </c>
      <c r="H55" s="38">
        <f>'Version 5 (LE)'!H16*100</f>
        <v>0</v>
      </c>
      <c r="I55" s="38">
        <f>'Version 5 (LE)'!I16*100</f>
        <v>1.3698630136986301</v>
      </c>
      <c r="J55" s="25">
        <f>SUM(B55:I55)</f>
        <v>8.5616438356164384</v>
      </c>
    </row>
    <row r="56" spans="1:10" x14ac:dyDescent="0.25">
      <c r="A56" s="3" t="s">
        <v>56</v>
      </c>
      <c r="B56" s="38">
        <f>'Version 5 (LE)'!B17*100</f>
        <v>0</v>
      </c>
      <c r="C56" s="38">
        <f>'Version 5 (LE)'!C17*100</f>
        <v>1.3698630136986301</v>
      </c>
      <c r="D56" s="38">
        <f>'Version 5 (LE)'!D17*100</f>
        <v>0</v>
      </c>
      <c r="E56" s="38">
        <f>'Version 5 (LE)'!E17*100</f>
        <v>1.7123287671232876</v>
      </c>
      <c r="F56" s="38">
        <f>'Version 5 (LE)'!F17*100</f>
        <v>1.7123287671232876</v>
      </c>
      <c r="G56" s="38">
        <f>'Version 5 (LE)'!G17*100</f>
        <v>0</v>
      </c>
      <c r="H56" s="38">
        <f>'Version 5 (LE)'!H17*100</f>
        <v>0.34246575342465752</v>
      </c>
      <c r="I56" s="38">
        <f>'Version 5 (LE)'!I17*100</f>
        <v>0.34246575342465752</v>
      </c>
      <c r="J56" s="25">
        <f t="shared" ref="J56:J62" si="14">SUM(B56:I56)</f>
        <v>5.4794520547945202</v>
      </c>
    </row>
    <row r="57" spans="1:10" x14ac:dyDescent="0.25">
      <c r="A57" t="s">
        <v>57</v>
      </c>
      <c r="B57" s="38">
        <f>'Version 5 (LE)'!B18*100</f>
        <v>0</v>
      </c>
      <c r="C57" s="38">
        <f>'Version 5 (LE)'!C18*100</f>
        <v>0.68493150684931503</v>
      </c>
      <c r="D57" s="38">
        <f>'Version 5 (LE)'!D18*100</f>
        <v>5.4794520547945202</v>
      </c>
      <c r="E57" s="38">
        <f>'Version 5 (LE)'!E18*100</f>
        <v>6.506849315068493</v>
      </c>
      <c r="F57" s="38">
        <f>'Version 5 (LE)'!F18*100</f>
        <v>5.1369863013698627</v>
      </c>
      <c r="G57" s="38">
        <f>'Version 5 (LE)'!G18*100</f>
        <v>6.1643835616438354</v>
      </c>
      <c r="H57" s="38">
        <f>'Version 5 (LE)'!H18*100</f>
        <v>1.3698630136986301</v>
      </c>
      <c r="I57" s="38">
        <f>'Version 5 (LE)'!I18*100</f>
        <v>0</v>
      </c>
      <c r="J57" s="25">
        <f t="shared" si="14"/>
        <v>25.342465753424655</v>
      </c>
    </row>
    <row r="58" spans="1:10" x14ac:dyDescent="0.25">
      <c r="A58" t="s">
        <v>59</v>
      </c>
      <c r="B58" s="38">
        <f>'Version 5 (LE)'!B19*100</f>
        <v>0.34246575342465752</v>
      </c>
      <c r="C58" s="38">
        <f>'Version 5 (LE)'!C19*100</f>
        <v>0.34246575342465752</v>
      </c>
      <c r="D58" s="38">
        <f>'Version 5 (LE)'!D19*100</f>
        <v>3.4246575342465753</v>
      </c>
      <c r="E58" s="38">
        <f>'Version 5 (LE)'!E19*100</f>
        <v>6.8493150684931505</v>
      </c>
      <c r="F58" s="38">
        <f>'Version 5 (LE)'!F19*100</f>
        <v>2.7397260273972601</v>
      </c>
      <c r="G58" s="38">
        <f>'Version 5 (LE)'!G19*100</f>
        <v>2.3972602739726026</v>
      </c>
      <c r="H58" s="38">
        <f>'Version 5 (LE)'!H19*100</f>
        <v>0</v>
      </c>
      <c r="I58" s="38">
        <f>'Version 5 (LE)'!I19*100</f>
        <v>0</v>
      </c>
      <c r="J58" s="25">
        <f t="shared" si="14"/>
        <v>16.095890410958905</v>
      </c>
    </row>
    <row r="59" spans="1:10" x14ac:dyDescent="0.25">
      <c r="A59" t="s">
        <v>60</v>
      </c>
      <c r="B59" s="38">
        <f>'Version 5 (LE)'!B20*100</f>
        <v>0.34246575342465752</v>
      </c>
      <c r="C59" s="38">
        <f>'Version 5 (LE)'!C20*100</f>
        <v>0.34246575342465752</v>
      </c>
      <c r="D59" s="38">
        <f>'Version 5 (LE)'!D20*100</f>
        <v>6.1643835616438354</v>
      </c>
      <c r="E59" s="38">
        <f>'Version 5 (LE)'!E20*100</f>
        <v>11.301369863013697</v>
      </c>
      <c r="F59" s="38">
        <f>'Version 5 (LE)'!F20*100</f>
        <v>2.7397260273972601</v>
      </c>
      <c r="G59" s="38">
        <f>'Version 5 (LE)'!G20*100</f>
        <v>4.4520547945205475</v>
      </c>
      <c r="H59" s="38">
        <f>'Version 5 (LE)'!H20*100</f>
        <v>0.34246575342465752</v>
      </c>
      <c r="I59" s="38">
        <f>'Version 5 (LE)'!I20*100</f>
        <v>0</v>
      </c>
      <c r="J59" s="25">
        <f t="shared" si="14"/>
        <v>25.684931506849313</v>
      </c>
    </row>
    <row r="60" spans="1:10" x14ac:dyDescent="0.25">
      <c r="A60" t="s">
        <v>62</v>
      </c>
      <c r="B60" s="38">
        <f>'Version 5 (LE)'!B21*100</f>
        <v>0</v>
      </c>
      <c r="C60" s="38">
        <f>'Version 5 (LE)'!C21*100</f>
        <v>0.68493150684931503</v>
      </c>
      <c r="D60" s="38">
        <f>'Version 5 (LE)'!D21*100</f>
        <v>3.7671232876712328</v>
      </c>
      <c r="E60" s="38">
        <f>'Version 5 (LE)'!E21*100</f>
        <v>2.3972602739726026</v>
      </c>
      <c r="F60" s="38">
        <f>'Version 5 (LE)'!F21*100</f>
        <v>0.68493150684931503</v>
      </c>
      <c r="G60" s="38">
        <f>'Version 5 (LE)'!G21*100</f>
        <v>3.7671232876712328</v>
      </c>
      <c r="H60" s="38">
        <f>'Version 5 (LE)'!H21*100</f>
        <v>0.68493150684931503</v>
      </c>
      <c r="I60" s="38">
        <f>'Version 5 (LE)'!I21*100</f>
        <v>0.34246575342465752</v>
      </c>
      <c r="J60" s="25">
        <f t="shared" si="14"/>
        <v>12.328767123287669</v>
      </c>
    </row>
    <row r="61" spans="1:10" x14ac:dyDescent="0.25">
      <c r="A61" t="s">
        <v>63</v>
      </c>
      <c r="B61" s="38">
        <f>'Version 5 (LE)'!B22*100</f>
        <v>0.34246575342465752</v>
      </c>
      <c r="C61" s="38">
        <f>'Version 5 (LE)'!C22*100</f>
        <v>0.34246575342465752</v>
      </c>
      <c r="D61" s="38">
        <f>'Version 5 (LE)'!D22*100</f>
        <v>1.0273972602739725</v>
      </c>
      <c r="E61" s="38">
        <f>'Version 5 (LE)'!E22*100</f>
        <v>1.0273972602739725</v>
      </c>
      <c r="F61" s="38">
        <f>'Version 5 (LE)'!F22*100</f>
        <v>0.34246575342465752</v>
      </c>
      <c r="G61" s="38">
        <f>'Version 5 (LE)'!G22*100</f>
        <v>1.3698630136986301</v>
      </c>
      <c r="H61" s="38">
        <f>'Version 5 (LE)'!H22*100</f>
        <v>0</v>
      </c>
      <c r="I61" s="38">
        <f>'Version 5 (LE)'!I22*100</f>
        <v>0.34246575342465752</v>
      </c>
      <c r="J61" s="25">
        <f t="shared" si="14"/>
        <v>4.7945205479452051</v>
      </c>
    </row>
    <row r="62" spans="1:10" x14ac:dyDescent="0.25">
      <c r="A62" t="s">
        <v>64</v>
      </c>
      <c r="B62" s="38">
        <f>'Version 5 (LE)'!B23*100</f>
        <v>0</v>
      </c>
      <c r="C62" s="38">
        <f>'Version 5 (LE)'!C23*100</f>
        <v>0</v>
      </c>
      <c r="D62" s="38">
        <f>'Version 5 (LE)'!D23*100</f>
        <v>0</v>
      </c>
      <c r="E62" s="38">
        <f>'Version 5 (LE)'!E23*100</f>
        <v>0.68493150684931503</v>
      </c>
      <c r="F62" s="38">
        <f>'Version 5 (LE)'!F23*100</f>
        <v>0.34246575342465752</v>
      </c>
      <c r="G62" s="38">
        <f>'Version 5 (LE)'!G23*100</f>
        <v>0</v>
      </c>
      <c r="H62" s="38">
        <f>'Version 5 (LE)'!H23*100</f>
        <v>0</v>
      </c>
      <c r="I62" s="38">
        <f>'Version 5 (LE)'!I23*100</f>
        <v>0.68493150684931503</v>
      </c>
      <c r="J62" s="25">
        <f t="shared" si="14"/>
        <v>1.7123287671232874</v>
      </c>
    </row>
    <row r="63" spans="1:10" x14ac:dyDescent="0.25">
      <c r="A63" s="5" t="s">
        <v>91</v>
      </c>
      <c r="B63" s="26">
        <f t="shared" ref="B63:I63" si="15">SUM(B55:B62)</f>
        <v>1.0273972602739725</v>
      </c>
      <c r="C63" s="26">
        <f t="shared" si="15"/>
        <v>4.7945205479452051</v>
      </c>
      <c r="D63" s="26">
        <f t="shared" si="15"/>
        <v>21.575342465753423</v>
      </c>
      <c r="E63" s="26">
        <f t="shared" si="15"/>
        <v>32.191780821917803</v>
      </c>
      <c r="F63" s="26">
        <f t="shared" si="15"/>
        <v>15.410958904109588</v>
      </c>
      <c r="G63" s="26">
        <f t="shared" si="15"/>
        <v>19.17808219178082</v>
      </c>
      <c r="H63" s="26">
        <f t="shared" si="15"/>
        <v>2.7397260273972601</v>
      </c>
      <c r="I63" s="26">
        <f t="shared" si="15"/>
        <v>3.0821917808219177</v>
      </c>
      <c r="J63" s="25">
        <f>SUM(B63:I63)</f>
        <v>99.999999999999972</v>
      </c>
    </row>
    <row r="64" spans="1:10" x14ac:dyDescent="0.25">
      <c r="A64" s="5" t="s">
        <v>88</v>
      </c>
      <c r="B64" s="6" t="s">
        <v>64</v>
      </c>
      <c r="C64" s="6" t="s">
        <v>63</v>
      </c>
      <c r="D64" s="6" t="s">
        <v>62</v>
      </c>
      <c r="E64" s="6" t="s">
        <v>60</v>
      </c>
      <c r="F64" s="6" t="s">
        <v>59</v>
      </c>
      <c r="G64" s="6" t="s">
        <v>57</v>
      </c>
      <c r="H64" s="6" t="s">
        <v>89</v>
      </c>
      <c r="I64" s="6" t="s">
        <v>55</v>
      </c>
      <c r="J64" s="4"/>
    </row>
    <row r="66" spans="1:21" x14ac:dyDescent="0.25">
      <c r="A66" t="s">
        <v>184</v>
      </c>
    </row>
    <row r="67" spans="1:21" x14ac:dyDescent="0.25">
      <c r="A67" s="1" t="s">
        <v>61</v>
      </c>
      <c r="J67" s="4"/>
    </row>
    <row r="68" spans="1:21" x14ac:dyDescent="0.25">
      <c r="A68" s="2" t="s">
        <v>55</v>
      </c>
      <c r="B68" s="24">
        <f>'Version 6 (GE)'!B16*100</f>
        <v>0</v>
      </c>
      <c r="C68" s="24">
        <f>'Version 6 (GE)'!C16*100</f>
        <v>0.30864197530864196</v>
      </c>
      <c r="D68" s="24">
        <f>'Version 6 (GE)'!D16*100</f>
        <v>0</v>
      </c>
      <c r="E68" s="24">
        <f>'Version 6 (GE)'!E16*100</f>
        <v>0.61728395061728392</v>
      </c>
      <c r="F68" s="24">
        <f>'Version 6 (GE)'!F16*100</f>
        <v>0.92592592592592582</v>
      </c>
      <c r="G68" s="24">
        <f>'Version 6 (GE)'!G16*100</f>
        <v>0.30864197530864196</v>
      </c>
      <c r="H68" s="24">
        <f>'Version 6 (GE)'!H16*100</f>
        <v>0</v>
      </c>
      <c r="I68" s="24">
        <f>'Version 6 (GE)'!I16*100</f>
        <v>0.30864197530864196</v>
      </c>
      <c r="J68" s="25">
        <f>SUM(B68:I68)</f>
        <v>2.4691358024691357</v>
      </c>
    </row>
    <row r="69" spans="1:21" x14ac:dyDescent="0.25">
      <c r="A69" s="3" t="s">
        <v>56</v>
      </c>
      <c r="B69" s="24">
        <f>'Version 6 (GE)'!B17*100</f>
        <v>0</v>
      </c>
      <c r="C69" s="24">
        <f>'Version 6 (GE)'!C17*100</f>
        <v>0.30864197530864196</v>
      </c>
      <c r="D69" s="24">
        <f>'Version 6 (GE)'!D17*100</f>
        <v>1.2345679012345678</v>
      </c>
      <c r="E69" s="24">
        <f>'Version 6 (GE)'!E17*100</f>
        <v>1.2345679012345678</v>
      </c>
      <c r="F69" s="24">
        <f>'Version 6 (GE)'!F17*100</f>
        <v>0.30864197530864196</v>
      </c>
      <c r="G69" s="24">
        <f>'Version 6 (GE)'!G17*100</f>
        <v>1.2345679012345678</v>
      </c>
      <c r="H69" s="24">
        <f>'Version 6 (GE)'!H17*100</f>
        <v>0.92592592592592582</v>
      </c>
      <c r="I69" s="24">
        <f>'Version 6 (GE)'!I17*100</f>
        <v>0.30864197530864196</v>
      </c>
      <c r="J69" s="25">
        <f t="shared" ref="J69:J75" si="16">SUM(B69:I69)</f>
        <v>5.5555555555555545</v>
      </c>
    </row>
    <row r="70" spans="1:21" x14ac:dyDescent="0.25">
      <c r="A70" t="s">
        <v>57</v>
      </c>
      <c r="B70" s="24">
        <f>'Version 6 (GE)'!B18*100</f>
        <v>0</v>
      </c>
      <c r="C70" s="24">
        <f>'Version 6 (GE)'!C18*100</f>
        <v>0.61728395061728392</v>
      </c>
      <c r="D70" s="24">
        <f>'Version 6 (GE)'!D18*100</f>
        <v>4.6296296296296298</v>
      </c>
      <c r="E70" s="24">
        <f>'Version 6 (GE)'!E18*100</f>
        <v>5.8641975308641969</v>
      </c>
      <c r="F70" s="24">
        <f>'Version 6 (GE)'!F18*100</f>
        <v>3.3950617283950617</v>
      </c>
      <c r="G70" s="24">
        <f>'Version 6 (GE)'!G18*100</f>
        <v>6.7901234567901234</v>
      </c>
      <c r="H70" s="24">
        <f>'Version 6 (GE)'!H18*100</f>
        <v>0.30864197530864196</v>
      </c>
      <c r="I70" s="24">
        <f>'Version 6 (GE)'!I18*100</f>
        <v>0.30864197530864196</v>
      </c>
      <c r="J70" s="25">
        <f t="shared" si="16"/>
        <v>21.913580246913583</v>
      </c>
    </row>
    <row r="71" spans="1:21" x14ac:dyDescent="0.25">
      <c r="A71" t="s">
        <v>59</v>
      </c>
      <c r="B71" s="24">
        <f>'Version 6 (GE)'!B19*100</f>
        <v>0</v>
      </c>
      <c r="C71" s="24">
        <f>'Version 6 (GE)'!C19*100</f>
        <v>0.30864197530864196</v>
      </c>
      <c r="D71" s="24">
        <f>'Version 6 (GE)'!D19*100</f>
        <v>1.8518518518518516</v>
      </c>
      <c r="E71" s="24">
        <f>'Version 6 (GE)'!E19*100</f>
        <v>13.580246913580247</v>
      </c>
      <c r="F71" s="24">
        <f>'Version 6 (GE)'!F19*100</f>
        <v>9.5679012345679002</v>
      </c>
      <c r="G71" s="24">
        <f>'Version 6 (GE)'!G19*100</f>
        <v>2.4691358024691357</v>
      </c>
      <c r="H71" s="24">
        <f>'Version 6 (GE)'!H19*100</f>
        <v>0</v>
      </c>
      <c r="I71" s="24">
        <f>'Version 6 (GE)'!I19*100</f>
        <v>0.30864197530864196</v>
      </c>
      <c r="J71" s="25">
        <f t="shared" si="16"/>
        <v>28.086419753086417</v>
      </c>
    </row>
    <row r="72" spans="1:21" x14ac:dyDescent="0.25">
      <c r="A72" t="s">
        <v>60</v>
      </c>
      <c r="B72" s="24">
        <f>'Version 6 (GE)'!B20*100</f>
        <v>0.92592592592592582</v>
      </c>
      <c r="C72" s="24">
        <f>'Version 6 (GE)'!C20*100</f>
        <v>1.5432098765432098</v>
      </c>
      <c r="D72" s="24">
        <f>'Version 6 (GE)'!D20*100</f>
        <v>4.0123456790123457</v>
      </c>
      <c r="E72" s="24">
        <f>'Version 6 (GE)'!E20*100</f>
        <v>12.345679012345679</v>
      </c>
      <c r="F72" s="24">
        <f>'Version 6 (GE)'!F20*100</f>
        <v>2.4691358024691357</v>
      </c>
      <c r="G72" s="24">
        <f>'Version 6 (GE)'!G20*100</f>
        <v>2.4691358024691357</v>
      </c>
      <c r="H72" s="24">
        <f>'Version 6 (GE)'!H20*100</f>
        <v>0.92592592592592582</v>
      </c>
      <c r="I72" s="24">
        <f>'Version 6 (GE)'!I20*100</f>
        <v>0</v>
      </c>
      <c r="J72" s="25">
        <f t="shared" si="16"/>
        <v>24.691358024691358</v>
      </c>
    </row>
    <row r="73" spans="1:21" x14ac:dyDescent="0.25">
      <c r="A73" t="s">
        <v>62</v>
      </c>
      <c r="B73" s="24">
        <f>'Version 6 (GE)'!B21*100</f>
        <v>0</v>
      </c>
      <c r="C73" s="24">
        <f>'Version 6 (GE)'!C21*100</f>
        <v>0</v>
      </c>
      <c r="D73" s="24">
        <f>'Version 6 (GE)'!D21*100</f>
        <v>3.7037037037037033</v>
      </c>
      <c r="E73" s="24">
        <f>'Version 6 (GE)'!E21*100</f>
        <v>3.3950617283950617</v>
      </c>
      <c r="F73" s="24">
        <f>'Version 6 (GE)'!F21*100</f>
        <v>2.4691358024691357</v>
      </c>
      <c r="G73" s="24">
        <f>'Version 6 (GE)'!G21*100</f>
        <v>1.5432098765432098</v>
      </c>
      <c r="H73" s="24">
        <f>'Version 6 (GE)'!H21*100</f>
        <v>0</v>
      </c>
      <c r="I73" s="24">
        <f>'Version 6 (GE)'!I21*100</f>
        <v>0</v>
      </c>
      <c r="J73" s="25">
        <f t="shared" si="16"/>
        <v>11.111111111111111</v>
      </c>
    </row>
    <row r="74" spans="1:21" x14ac:dyDescent="0.25">
      <c r="A74" t="s">
        <v>63</v>
      </c>
      <c r="B74" s="24">
        <f>'Version 6 (GE)'!B22*100</f>
        <v>0.30864197530864196</v>
      </c>
      <c r="C74" s="24">
        <f>'Version 6 (GE)'!C22*100</f>
        <v>1.8518518518518516</v>
      </c>
      <c r="D74" s="24">
        <f>'Version 6 (GE)'!D22*100</f>
        <v>1.2345679012345678</v>
      </c>
      <c r="E74" s="24">
        <f>'Version 6 (GE)'!E22*100</f>
        <v>0</v>
      </c>
      <c r="F74" s="24">
        <f>'Version 6 (GE)'!F22*100</f>
        <v>0.61728395061728392</v>
      </c>
      <c r="G74" s="24">
        <f>'Version 6 (GE)'!G22*100</f>
        <v>0.92592592592592582</v>
      </c>
      <c r="H74" s="24">
        <f>'Version 6 (GE)'!H22*100</f>
        <v>0.30864197530864196</v>
      </c>
      <c r="I74" s="24">
        <f>'Version 6 (GE)'!I22*100</f>
        <v>0</v>
      </c>
      <c r="J74" s="25">
        <f t="shared" si="16"/>
        <v>5.2469135802469129</v>
      </c>
    </row>
    <row r="75" spans="1:21" x14ac:dyDescent="0.25">
      <c r="A75" t="s">
        <v>64</v>
      </c>
      <c r="B75" s="24">
        <f>'Version 6 (GE)'!B23*100</f>
        <v>0.30864197530864196</v>
      </c>
      <c r="C75" s="24">
        <f>'Version 6 (GE)'!C23*100</f>
        <v>0</v>
      </c>
      <c r="D75" s="24">
        <f>'Version 6 (GE)'!D23*100</f>
        <v>0.30864197530864196</v>
      </c>
      <c r="E75" s="24">
        <f>'Version 6 (GE)'!E23*100</f>
        <v>0.30864197530864196</v>
      </c>
      <c r="F75" s="24">
        <f>'Version 6 (GE)'!F23*100</f>
        <v>0</v>
      </c>
      <c r="G75" s="24">
        <f>'Version 6 (GE)'!G23*100</f>
        <v>0</v>
      </c>
      <c r="H75" s="24">
        <f>'Version 6 (GE)'!H23*100</f>
        <v>0</v>
      </c>
      <c r="I75" s="24">
        <f>'Version 6 (GE)'!I23*100</f>
        <v>0</v>
      </c>
      <c r="J75" s="25">
        <f t="shared" si="16"/>
        <v>0.92592592592592582</v>
      </c>
    </row>
    <row r="76" spans="1:21" x14ac:dyDescent="0.25">
      <c r="A76" s="5" t="s">
        <v>91</v>
      </c>
      <c r="B76" s="26">
        <f t="shared" ref="B76:I76" si="17">SUM(B68:B75)</f>
        <v>1.5432098765432098</v>
      </c>
      <c r="C76" s="26">
        <f t="shared" si="17"/>
        <v>4.9382716049382713</v>
      </c>
      <c r="D76" s="26">
        <f t="shared" si="17"/>
        <v>16.975308641975307</v>
      </c>
      <c r="E76" s="26">
        <f t="shared" si="17"/>
        <v>37.345679012345677</v>
      </c>
      <c r="F76" s="26">
        <f t="shared" si="17"/>
        <v>19.753086419753085</v>
      </c>
      <c r="G76" s="26">
        <f t="shared" si="17"/>
        <v>15.740740740740742</v>
      </c>
      <c r="H76" s="26">
        <f t="shared" si="17"/>
        <v>2.4691358024691357</v>
      </c>
      <c r="I76" s="26">
        <f t="shared" si="17"/>
        <v>1.2345679012345678</v>
      </c>
      <c r="J76" s="25">
        <f>SUM(B76:I76)</f>
        <v>100.00000000000001</v>
      </c>
    </row>
    <row r="77" spans="1:21" x14ac:dyDescent="0.25">
      <c r="A77" s="5" t="s">
        <v>88</v>
      </c>
      <c r="B77" s="6" t="s">
        <v>64</v>
      </c>
      <c r="C77" s="6" t="s">
        <v>63</v>
      </c>
      <c r="D77" s="6" t="s">
        <v>62</v>
      </c>
      <c r="E77" s="6" t="s">
        <v>60</v>
      </c>
      <c r="F77" s="6" t="s">
        <v>59</v>
      </c>
      <c r="G77" s="6" t="s">
        <v>57</v>
      </c>
      <c r="H77" s="6" t="s">
        <v>89</v>
      </c>
      <c r="I77" s="6" t="s">
        <v>55</v>
      </c>
      <c r="J77" s="4"/>
    </row>
    <row r="80" spans="1:21" x14ac:dyDescent="0.25">
      <c r="L80" t="s">
        <v>164</v>
      </c>
      <c r="M80" s="34" t="s">
        <v>168</v>
      </c>
      <c r="N80" s="34" t="s">
        <v>169</v>
      </c>
      <c r="O80" s="34" t="s">
        <v>170</v>
      </c>
      <c r="P80" s="34" t="s">
        <v>171</v>
      </c>
      <c r="Q80" s="34" t="s">
        <v>172</v>
      </c>
      <c r="R80" s="34" t="s">
        <v>173</v>
      </c>
      <c r="S80" s="34" t="s">
        <v>174</v>
      </c>
      <c r="T80" s="34" t="s">
        <v>175</v>
      </c>
      <c r="U80" s="34" t="s">
        <v>176</v>
      </c>
    </row>
    <row r="81" spans="12:21" x14ac:dyDescent="0.25">
      <c r="L81" t="s">
        <v>165</v>
      </c>
      <c r="M81" s="36">
        <f>J36</f>
        <v>2.1875</v>
      </c>
      <c r="N81" s="36">
        <f>J35</f>
        <v>5.625</v>
      </c>
      <c r="O81" s="36">
        <f>J34</f>
        <v>14.6875</v>
      </c>
      <c r="P81" s="36">
        <f>J33</f>
        <v>30</v>
      </c>
      <c r="Q81" s="36">
        <f>J32</f>
        <v>18.75</v>
      </c>
      <c r="R81" s="36">
        <f>J31</f>
        <v>13.125</v>
      </c>
      <c r="S81" s="36">
        <f>J30</f>
        <v>7.5</v>
      </c>
      <c r="T81" s="36">
        <f>J29</f>
        <v>8.125</v>
      </c>
      <c r="U81" s="36">
        <f>SUM(M81:T81)</f>
        <v>100</v>
      </c>
    </row>
    <row r="82" spans="12:21" x14ac:dyDescent="0.25">
      <c r="L82" t="s">
        <v>166</v>
      </c>
      <c r="M82" s="36">
        <f>J49</f>
        <v>1.6666666666666665</v>
      </c>
      <c r="N82" s="36">
        <f>J48</f>
        <v>7.7777777777777777</v>
      </c>
      <c r="O82" s="36">
        <f>J47</f>
        <v>9.4444444444444446</v>
      </c>
      <c r="P82" s="36">
        <f>J46</f>
        <v>29.166666666666668</v>
      </c>
      <c r="Q82" s="36">
        <f>J45</f>
        <v>21.388888888888893</v>
      </c>
      <c r="R82" s="36">
        <f>J44</f>
        <v>19.722222222222221</v>
      </c>
      <c r="S82" s="36">
        <f>J43</f>
        <v>3.8888888888888893</v>
      </c>
      <c r="T82" s="36">
        <f>J42</f>
        <v>6.9444444444444446</v>
      </c>
      <c r="U82" s="36">
        <f>SUM(M82:T82)</f>
        <v>100.00000000000001</v>
      </c>
    </row>
    <row r="83" spans="12:21" x14ac:dyDescent="0.25">
      <c r="L83" t="s">
        <v>167</v>
      </c>
      <c r="M83" s="36">
        <f>J62</f>
        <v>1.7123287671232874</v>
      </c>
      <c r="N83" s="36">
        <f>J61</f>
        <v>4.7945205479452051</v>
      </c>
      <c r="O83" s="36">
        <f>J60</f>
        <v>12.328767123287669</v>
      </c>
      <c r="P83" s="36">
        <f>J59</f>
        <v>25.684931506849313</v>
      </c>
      <c r="Q83" s="36">
        <f>J58</f>
        <v>16.095890410958905</v>
      </c>
      <c r="R83" s="36">
        <f>J57</f>
        <v>25.342465753424655</v>
      </c>
      <c r="S83" s="36">
        <f>J56</f>
        <v>5.4794520547945202</v>
      </c>
      <c r="T83" s="36">
        <f>J55</f>
        <v>8.5616438356164384</v>
      </c>
      <c r="U83" s="36">
        <f>SUM(M83:T83)</f>
        <v>100</v>
      </c>
    </row>
    <row r="84" spans="12:21" x14ac:dyDescent="0.25">
      <c r="L84" t="s">
        <v>179</v>
      </c>
      <c r="M84" s="36">
        <f>J75</f>
        <v>0.92592592592592582</v>
      </c>
      <c r="N84" s="36">
        <f>J74</f>
        <v>5.2469135802469129</v>
      </c>
      <c r="O84" s="36">
        <f>J73</f>
        <v>11.111111111111111</v>
      </c>
      <c r="P84" s="36">
        <f>J72</f>
        <v>24.691358024691358</v>
      </c>
      <c r="Q84" s="36">
        <f>J71</f>
        <v>28.086419753086417</v>
      </c>
      <c r="R84" s="36">
        <f>J70</f>
        <v>21.913580246913583</v>
      </c>
      <c r="S84" s="36">
        <f>J69</f>
        <v>5.5555555555555545</v>
      </c>
      <c r="T84" s="36">
        <f>J68</f>
        <v>2.4691358024691357</v>
      </c>
      <c r="U84" s="36">
        <f>SUM(M84:T84)</f>
        <v>100</v>
      </c>
    </row>
  </sheetData>
  <conditionalFormatting sqref="B3:I10 B16:I23 B29:I36 M3:T10 M16:T23 M29:T36">
    <cfRule type="cellIs" dxfId="56" priority="101" stopIfTrue="1" operator="greaterThan">
      <formula>14.0625</formula>
    </cfRule>
    <cfRule type="cellIs" dxfId="55" priority="102" stopIfTrue="1" operator="between">
      <formula>12.5</formula>
      <formula>14.0625</formula>
    </cfRule>
    <cfRule type="cellIs" dxfId="54" priority="110" stopIfTrue="1" operator="between">
      <formula>10.9375</formula>
      <formula>12.5</formula>
    </cfRule>
    <cfRule type="cellIs" dxfId="53" priority="112" stopIfTrue="1" operator="between">
      <formula>7.8125</formula>
      <formula>9.375</formula>
    </cfRule>
    <cfRule type="cellIs" dxfId="52" priority="113" stopIfTrue="1" operator="between">
      <formula>6.25</formula>
      <formula>7.8125</formula>
    </cfRule>
    <cfRule type="cellIs" dxfId="51" priority="114" stopIfTrue="1" operator="between">
      <formula>4.6875</formula>
      <formula>6.25</formula>
    </cfRule>
    <cfRule type="cellIs" dxfId="50" priority="115" stopIfTrue="1" operator="between">
      <formula>3.125</formula>
      <formula>4.6875</formula>
    </cfRule>
    <cfRule type="cellIs" dxfId="49" priority="116" stopIfTrue="1" operator="between">
      <formula>1.5625</formula>
      <formula>3.125</formula>
    </cfRule>
  </conditionalFormatting>
  <conditionalFormatting sqref="B10:I10 B23:I23 B36:I36 M10:T10 M23:T23 M36:T36 B49:I49">
    <cfRule type="cellIs" dxfId="48" priority="111" stopIfTrue="1" operator="between">
      <formula>9.375</formula>
      <formula>10.9375</formula>
    </cfRule>
  </conditionalFormatting>
  <conditionalFormatting sqref="B16:I23 B29:I36 B42:I49">
    <cfRule type="cellIs" dxfId="47" priority="104" stopIfTrue="1" operator="between">
      <formula>10.9375</formula>
      <formula>12.5</formula>
    </cfRule>
    <cfRule type="cellIs" dxfId="46" priority="105" stopIfTrue="1" operator="between">
      <formula>7.8125</formula>
      <formula>9.375</formula>
    </cfRule>
    <cfRule type="cellIs" dxfId="45" priority="106" stopIfTrue="1" operator="between">
      <formula>6.25</formula>
      <formula>7.8125</formula>
    </cfRule>
    <cfRule type="cellIs" dxfId="44" priority="107" stopIfTrue="1" operator="between">
      <formula>4.6875</formula>
      <formula>6.25</formula>
    </cfRule>
    <cfRule type="cellIs" dxfId="43" priority="108" stopIfTrue="1" operator="between">
      <formula>3.125</formula>
      <formula>4.6875</formula>
    </cfRule>
    <cfRule type="cellIs" dxfId="42" priority="109" stopIfTrue="1" operator="between">
      <formula>1.5625</formula>
      <formula>3.125</formula>
    </cfRule>
  </conditionalFormatting>
  <conditionalFormatting sqref="B23:I25 B36:I38">
    <cfRule type="cellIs" dxfId="41" priority="103" stopIfTrue="1" operator="between">
      <formula>9.375</formula>
      <formula>10.9375</formula>
    </cfRule>
  </conditionalFormatting>
  <conditionalFormatting sqref="B42:I49">
    <cfRule type="cellIs" dxfId="40" priority="33" stopIfTrue="1" operator="greaterThan">
      <formula>14.0625</formula>
    </cfRule>
    <cfRule type="cellIs" dxfId="39" priority="34" stopIfTrue="1" operator="between">
      <formula>12.5</formula>
      <formula>14.0625</formula>
    </cfRule>
    <cfRule type="cellIs" dxfId="38" priority="35" stopIfTrue="1" operator="between">
      <formula>9.375</formula>
      <formula>10.9375</formula>
    </cfRule>
    <cfRule type="cellIs" dxfId="37" priority="42" stopIfTrue="1" operator="between">
      <formula>10.9375</formula>
      <formula>12.5</formula>
    </cfRule>
    <cfRule type="cellIs" dxfId="36" priority="44" stopIfTrue="1" operator="between">
      <formula>7.8125</formula>
      <formula>9.375</formula>
    </cfRule>
    <cfRule type="cellIs" dxfId="35" priority="45" stopIfTrue="1" operator="between">
      <formula>6.25</formula>
      <formula>7.8125</formula>
    </cfRule>
    <cfRule type="cellIs" dxfId="34" priority="46" stopIfTrue="1" operator="between">
      <formula>4.6875</formula>
      <formula>6.25</formula>
    </cfRule>
    <cfRule type="cellIs" dxfId="33" priority="47" stopIfTrue="1" operator="between">
      <formula>3.125</formula>
      <formula>4.6875</formula>
    </cfRule>
    <cfRule type="cellIs" dxfId="32" priority="48" stopIfTrue="1" operator="between">
      <formula>1.5625</formula>
      <formula>3.125</formula>
    </cfRule>
  </conditionalFormatting>
  <conditionalFormatting sqref="B55:I62">
    <cfRule type="cellIs" dxfId="31" priority="24" stopIfTrue="1" operator="greaterThan">
      <formula>14.0625</formula>
    </cfRule>
    <cfRule type="cellIs" dxfId="30" priority="25" stopIfTrue="1" operator="between">
      <formula>12.5</formula>
      <formula>14.0625</formula>
    </cfRule>
    <cfRule type="cellIs" dxfId="29" priority="26" stopIfTrue="1" operator="between">
      <formula>9.375</formula>
      <formula>10.9375</formula>
    </cfRule>
    <cfRule type="cellIs" dxfId="28" priority="27" stopIfTrue="1" operator="between">
      <formula>10.9375</formula>
      <formula>12.5</formula>
    </cfRule>
    <cfRule type="cellIs" dxfId="27" priority="28" stopIfTrue="1" operator="between">
      <formula>7.8125</formula>
      <formula>9.375</formula>
    </cfRule>
    <cfRule type="cellIs" dxfId="26" priority="29" stopIfTrue="1" operator="between">
      <formula>6.25</formula>
      <formula>7.8125</formula>
    </cfRule>
    <cfRule type="cellIs" dxfId="25" priority="30" stopIfTrue="1" operator="between">
      <formula>4.6875</formula>
      <formula>6.25</formula>
    </cfRule>
    <cfRule type="cellIs" dxfId="24" priority="31" stopIfTrue="1" operator="between">
      <formula>3.125</formula>
      <formula>4.6875</formula>
    </cfRule>
    <cfRule type="cellIs" dxfId="23" priority="32" stopIfTrue="1" operator="between">
      <formula>1.5625</formula>
      <formula>3.125</formula>
    </cfRule>
  </conditionalFormatting>
  <conditionalFormatting sqref="B62:I62">
    <cfRule type="cellIs" dxfId="22" priority="23" stopIfTrue="1" operator="between">
      <formula>9.375</formula>
      <formula>10.9375</formula>
    </cfRule>
  </conditionalFormatting>
  <conditionalFormatting sqref="B55:I62">
    <cfRule type="cellIs" dxfId="21" priority="17" stopIfTrue="1" operator="between">
      <formula>10.9375</formula>
      <formula>12.5</formula>
    </cfRule>
    <cfRule type="cellIs" dxfId="20" priority="18" stopIfTrue="1" operator="between">
      <formula>7.8125</formula>
      <formula>9.375</formula>
    </cfRule>
    <cfRule type="cellIs" dxfId="19" priority="19" stopIfTrue="1" operator="between">
      <formula>6.25</formula>
      <formula>7.8125</formula>
    </cfRule>
    <cfRule type="cellIs" dxfId="18" priority="20" stopIfTrue="1" operator="between">
      <formula>4.6875</formula>
      <formula>6.25</formula>
    </cfRule>
    <cfRule type="cellIs" dxfId="17" priority="21" stopIfTrue="1" operator="between">
      <formula>3.125</formula>
      <formula>4.6875</formula>
    </cfRule>
    <cfRule type="cellIs" dxfId="16" priority="22" stopIfTrue="1" operator="between">
      <formula>1.5625</formula>
      <formula>3.125</formula>
    </cfRule>
  </conditionalFormatting>
  <conditionalFormatting sqref="B68:I75">
    <cfRule type="cellIs" dxfId="15" priority="8" stopIfTrue="1" operator="greaterThan">
      <formula>14.0625</formula>
    </cfRule>
    <cfRule type="cellIs" dxfId="14" priority="9" stopIfTrue="1" operator="between">
      <formula>12.5</formula>
      <formula>14.0625</formula>
    </cfRule>
    <cfRule type="cellIs" dxfId="13" priority="10" stopIfTrue="1" operator="between">
      <formula>9.375</formula>
      <formula>10.9375</formula>
    </cfRule>
    <cfRule type="cellIs" dxfId="12" priority="11" stopIfTrue="1" operator="between">
      <formula>10.9375</formula>
      <formula>12.5</formula>
    </cfRule>
    <cfRule type="cellIs" dxfId="11" priority="12" stopIfTrue="1" operator="between">
      <formula>7.8125</formula>
      <formula>9.375</formula>
    </cfRule>
    <cfRule type="cellIs" dxfId="10" priority="13" stopIfTrue="1" operator="between">
      <formula>6.25</formula>
      <formula>7.8125</formula>
    </cfRule>
    <cfRule type="cellIs" dxfId="9" priority="14" stopIfTrue="1" operator="between">
      <formula>4.6875</formula>
      <formula>6.25</formula>
    </cfRule>
    <cfRule type="cellIs" dxfId="8" priority="15" stopIfTrue="1" operator="between">
      <formula>3.125</formula>
      <formula>4.6875</formula>
    </cfRule>
    <cfRule type="cellIs" dxfId="7" priority="16" stopIfTrue="1" operator="between">
      <formula>1.5625</formula>
      <formula>3.125</formula>
    </cfRule>
  </conditionalFormatting>
  <conditionalFormatting sqref="B75:I75">
    <cfRule type="cellIs" dxfId="6" priority="7" stopIfTrue="1" operator="between">
      <formula>9.375</formula>
      <formula>10.9375</formula>
    </cfRule>
  </conditionalFormatting>
  <conditionalFormatting sqref="B68:I75">
    <cfRule type="cellIs" dxfId="5" priority="1" stopIfTrue="1" operator="between">
      <formula>10.9375</formula>
      <formula>12.5</formula>
    </cfRule>
    <cfRule type="cellIs" dxfId="4" priority="2" stopIfTrue="1" operator="between">
      <formula>7.8125</formula>
      <formula>9.375</formula>
    </cfRule>
    <cfRule type="cellIs" dxfId="3" priority="3" stopIfTrue="1" operator="between">
      <formula>6.25</formula>
      <formula>7.8125</formula>
    </cfRule>
    <cfRule type="cellIs" dxfId="2" priority="4" stopIfTrue="1" operator="between">
      <formula>4.6875</formula>
      <formula>6.25</formula>
    </cfRule>
    <cfRule type="cellIs" dxfId="1" priority="5" stopIfTrue="1" operator="between">
      <formula>3.125</formula>
      <formula>4.6875</formula>
    </cfRule>
    <cfRule type="cellIs" dxfId="0" priority="6" stopIfTrue="1" operator="between">
      <formula>1.5625</formula>
      <formula>3.125</formula>
    </cfRule>
  </conditionalFormatting>
  <pageMargins left="0.7" right="0.7" top="0.75" bottom="0.75" header="0.3" footer="0.3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2"/>
  <sheetViews>
    <sheetView topLeftCell="G1" zoomScaleNormal="100" workbookViewId="0">
      <selection activeCell="X11" sqref="X11"/>
    </sheetView>
  </sheetViews>
  <sheetFormatPr defaultColWidth="8.7109375" defaultRowHeight="15" x14ac:dyDescent="0.25"/>
  <cols>
    <col min="1" max="12" width="8.7109375" customWidth="1"/>
    <col min="13" max="13" width="24.42578125" customWidth="1"/>
    <col min="24" max="24" width="22.7109375" customWidth="1"/>
    <col min="27" max="27" width="9.28515625" bestFit="1" customWidth="1"/>
    <col min="35" max="35" width="20.5703125" customWidth="1"/>
    <col min="47" max="49" width="9.5703125" bestFit="1" customWidth="1"/>
  </cols>
  <sheetData>
    <row r="1" spans="1:38" x14ac:dyDescent="0.25">
      <c r="A1" s="1" t="s">
        <v>2</v>
      </c>
      <c r="J1" s="4" t="s">
        <v>58</v>
      </c>
      <c r="K1" s="4" t="s">
        <v>90</v>
      </c>
    </row>
    <row r="2" spans="1:38" x14ac:dyDescent="0.25">
      <c r="A2" s="1" t="s">
        <v>61</v>
      </c>
      <c r="J2" s="4"/>
      <c r="K2" s="4"/>
    </row>
    <row r="3" spans="1:38" x14ac:dyDescent="0.25">
      <c r="A3" s="2" t="s">
        <v>55</v>
      </c>
      <c r="B3">
        <v>0</v>
      </c>
      <c r="C3">
        <v>3</v>
      </c>
      <c r="D3">
        <v>5</v>
      </c>
      <c r="E3">
        <v>5</v>
      </c>
      <c r="F3">
        <v>5</v>
      </c>
      <c r="G3">
        <v>3</v>
      </c>
      <c r="H3">
        <v>0</v>
      </c>
      <c r="I3">
        <v>4</v>
      </c>
      <c r="J3" s="4">
        <f>SUM(B3:I3)</f>
        <v>25</v>
      </c>
      <c r="K3" s="12">
        <f>J3/J$11</f>
        <v>8.5616438356164379E-2</v>
      </c>
    </row>
    <row r="4" spans="1:38" x14ac:dyDescent="0.25">
      <c r="A4" s="3" t="s">
        <v>56</v>
      </c>
      <c r="B4">
        <v>0</v>
      </c>
      <c r="C4">
        <v>4</v>
      </c>
      <c r="D4">
        <v>0</v>
      </c>
      <c r="E4">
        <v>5</v>
      </c>
      <c r="F4">
        <v>5</v>
      </c>
      <c r="G4">
        <v>0</v>
      </c>
      <c r="H4">
        <v>1</v>
      </c>
      <c r="I4">
        <v>1</v>
      </c>
      <c r="J4" s="4">
        <f t="shared" ref="J4:J10" si="0">SUM(B4:I4)</f>
        <v>16</v>
      </c>
      <c r="K4" s="12">
        <f t="shared" ref="K4:K10" si="1">J4/J$11</f>
        <v>5.4794520547945202E-2</v>
      </c>
    </row>
    <row r="5" spans="1:38" x14ac:dyDescent="0.25">
      <c r="A5" t="s">
        <v>57</v>
      </c>
      <c r="B5">
        <v>0</v>
      </c>
      <c r="C5">
        <v>2</v>
      </c>
      <c r="D5">
        <v>16</v>
      </c>
      <c r="E5">
        <v>19</v>
      </c>
      <c r="F5">
        <v>15</v>
      </c>
      <c r="G5">
        <v>18</v>
      </c>
      <c r="H5">
        <v>4</v>
      </c>
      <c r="I5">
        <v>0</v>
      </c>
      <c r="J5" s="4">
        <f t="shared" si="0"/>
        <v>74</v>
      </c>
      <c r="K5" s="12">
        <f t="shared" si="1"/>
        <v>0.25342465753424659</v>
      </c>
    </row>
    <row r="6" spans="1:38" x14ac:dyDescent="0.25">
      <c r="A6" t="s">
        <v>59</v>
      </c>
      <c r="B6">
        <v>1</v>
      </c>
      <c r="C6">
        <v>1</v>
      </c>
      <c r="D6">
        <v>10</v>
      </c>
      <c r="E6">
        <v>20</v>
      </c>
      <c r="F6">
        <v>8</v>
      </c>
      <c r="G6">
        <v>7</v>
      </c>
      <c r="H6">
        <v>0</v>
      </c>
      <c r="I6">
        <v>0</v>
      </c>
      <c r="J6" s="4">
        <f t="shared" si="0"/>
        <v>47</v>
      </c>
      <c r="K6" s="12">
        <f t="shared" si="1"/>
        <v>0.16095890410958905</v>
      </c>
    </row>
    <row r="7" spans="1:38" x14ac:dyDescent="0.25">
      <c r="A7" t="s">
        <v>60</v>
      </c>
      <c r="B7">
        <v>1</v>
      </c>
      <c r="C7">
        <v>1</v>
      </c>
      <c r="D7">
        <v>18</v>
      </c>
      <c r="E7">
        <v>33</v>
      </c>
      <c r="F7">
        <v>8</v>
      </c>
      <c r="G7">
        <v>13</v>
      </c>
      <c r="H7">
        <v>1</v>
      </c>
      <c r="I7">
        <v>0</v>
      </c>
      <c r="J7" s="4">
        <f t="shared" si="0"/>
        <v>75</v>
      </c>
      <c r="K7" s="12">
        <f t="shared" si="1"/>
        <v>0.25684931506849318</v>
      </c>
    </row>
    <row r="8" spans="1:38" x14ac:dyDescent="0.25">
      <c r="A8" t="s">
        <v>62</v>
      </c>
      <c r="B8">
        <v>0</v>
      </c>
      <c r="C8">
        <v>2</v>
      </c>
      <c r="D8">
        <v>11</v>
      </c>
      <c r="E8">
        <v>7</v>
      </c>
      <c r="F8">
        <v>2</v>
      </c>
      <c r="G8">
        <v>11</v>
      </c>
      <c r="H8">
        <v>2</v>
      </c>
      <c r="I8">
        <v>1</v>
      </c>
      <c r="J8" s="4">
        <f t="shared" si="0"/>
        <v>36</v>
      </c>
      <c r="K8" s="12">
        <f t="shared" si="1"/>
        <v>0.12328767123287671</v>
      </c>
    </row>
    <row r="9" spans="1:38" x14ac:dyDescent="0.25">
      <c r="A9" t="s">
        <v>63</v>
      </c>
      <c r="B9">
        <v>1</v>
      </c>
      <c r="C9">
        <v>1</v>
      </c>
      <c r="D9">
        <v>3</v>
      </c>
      <c r="E9">
        <v>3</v>
      </c>
      <c r="F9">
        <v>1</v>
      </c>
      <c r="G9">
        <v>4</v>
      </c>
      <c r="H9">
        <v>0</v>
      </c>
      <c r="I9">
        <v>1</v>
      </c>
      <c r="J9" s="4">
        <f t="shared" si="0"/>
        <v>14</v>
      </c>
      <c r="K9" s="12">
        <f t="shared" si="1"/>
        <v>4.7945205479452052E-2</v>
      </c>
    </row>
    <row r="10" spans="1:38" x14ac:dyDescent="0.25">
      <c r="A10" t="s">
        <v>64</v>
      </c>
      <c r="B10">
        <v>0</v>
      </c>
      <c r="C10">
        <v>0</v>
      </c>
      <c r="D10">
        <v>0</v>
      </c>
      <c r="E10">
        <v>2</v>
      </c>
      <c r="F10">
        <v>1</v>
      </c>
      <c r="G10">
        <v>0</v>
      </c>
      <c r="H10">
        <v>0</v>
      </c>
      <c r="I10">
        <v>2</v>
      </c>
      <c r="J10" s="4">
        <f t="shared" si="0"/>
        <v>5</v>
      </c>
      <c r="K10" s="12">
        <f t="shared" si="1"/>
        <v>1.7123287671232876E-2</v>
      </c>
    </row>
    <row r="11" spans="1:38" x14ac:dyDescent="0.25">
      <c r="A11" s="5" t="s">
        <v>65</v>
      </c>
      <c r="B11" s="6">
        <f>SUM(B3:B10)</f>
        <v>3</v>
      </c>
      <c r="C11" s="6">
        <f t="shared" ref="C11:I11" si="2">SUM(C3:C10)</f>
        <v>14</v>
      </c>
      <c r="D11" s="6">
        <f t="shared" si="2"/>
        <v>63</v>
      </c>
      <c r="E11" s="6">
        <f t="shared" si="2"/>
        <v>94</v>
      </c>
      <c r="F11" s="6">
        <f t="shared" si="2"/>
        <v>45</v>
      </c>
      <c r="G11" s="6">
        <f t="shared" si="2"/>
        <v>56</v>
      </c>
      <c r="H11" s="6">
        <f t="shared" si="2"/>
        <v>8</v>
      </c>
      <c r="I11" s="6">
        <f t="shared" si="2"/>
        <v>9</v>
      </c>
      <c r="J11" s="4">
        <f>SUM(J3:J10)</f>
        <v>292</v>
      </c>
      <c r="K11" s="4"/>
    </row>
    <row r="12" spans="1:38" x14ac:dyDescent="0.25">
      <c r="A12" s="5" t="s">
        <v>91</v>
      </c>
      <c r="B12" s="13">
        <f>B11/$J$11</f>
        <v>1.0273972602739725E-2</v>
      </c>
      <c r="C12" s="13">
        <f t="shared" ref="C12:I12" si="3">C11/$J$11</f>
        <v>4.7945205479452052E-2</v>
      </c>
      <c r="D12" s="13">
        <f t="shared" si="3"/>
        <v>0.21575342465753425</v>
      </c>
      <c r="E12" s="13">
        <f t="shared" si="3"/>
        <v>0.32191780821917809</v>
      </c>
      <c r="F12" s="13">
        <f t="shared" si="3"/>
        <v>0.1541095890410959</v>
      </c>
      <c r="G12" s="13">
        <f t="shared" si="3"/>
        <v>0.19178082191780821</v>
      </c>
      <c r="H12" s="13">
        <f t="shared" si="3"/>
        <v>2.7397260273972601E-2</v>
      </c>
      <c r="I12" s="13">
        <f t="shared" si="3"/>
        <v>3.0821917808219176E-2</v>
      </c>
      <c r="J12" s="19">
        <f>SUM(B12:I12)</f>
        <v>1</v>
      </c>
      <c r="K12" s="4"/>
    </row>
    <row r="13" spans="1:38" x14ac:dyDescent="0.25">
      <c r="A13" s="5" t="s">
        <v>88</v>
      </c>
      <c r="B13" s="6" t="s">
        <v>64</v>
      </c>
      <c r="C13" s="6" t="s">
        <v>63</v>
      </c>
      <c r="D13" s="6" t="s">
        <v>62</v>
      </c>
      <c r="E13" s="6" t="s">
        <v>60</v>
      </c>
      <c r="F13" s="6" t="s">
        <v>59</v>
      </c>
      <c r="G13" s="6" t="s">
        <v>57</v>
      </c>
      <c r="H13" s="6" t="s">
        <v>89</v>
      </c>
      <c r="I13" s="6" t="s">
        <v>55</v>
      </c>
      <c r="J13" s="4"/>
      <c r="K13" s="4"/>
    </row>
    <row r="14" spans="1:38" x14ac:dyDescent="0.25">
      <c r="A14" s="8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M14" s="8" t="s">
        <v>3</v>
      </c>
      <c r="N14" s="7"/>
      <c r="O14" s="7"/>
      <c r="P14" s="7"/>
      <c r="Q14" s="7"/>
      <c r="R14" s="7"/>
      <c r="S14" s="7"/>
      <c r="T14" s="7"/>
      <c r="U14" s="7"/>
      <c r="V14" s="7"/>
    </row>
    <row r="15" spans="1:38" x14ac:dyDescent="0.25">
      <c r="A15" s="1" t="s">
        <v>61</v>
      </c>
      <c r="J15" s="4"/>
      <c r="K15" s="4"/>
      <c r="M15" s="1" t="s">
        <v>61</v>
      </c>
      <c r="V15" s="4"/>
      <c r="Y15" t="s">
        <v>202</v>
      </c>
      <c r="AE15" t="s">
        <v>213</v>
      </c>
      <c r="AJ15" t="s">
        <v>153</v>
      </c>
    </row>
    <row r="16" spans="1:38" x14ac:dyDescent="0.25">
      <c r="A16" s="2" t="s">
        <v>55</v>
      </c>
      <c r="B16" s="20">
        <f t="shared" ref="B16:I23" si="4">B3/$J$11</f>
        <v>0</v>
      </c>
      <c r="C16" s="20">
        <f t="shared" si="4"/>
        <v>1.0273972602739725E-2</v>
      </c>
      <c r="D16" s="20">
        <f t="shared" si="4"/>
        <v>1.7123287671232876E-2</v>
      </c>
      <c r="E16" s="20">
        <f t="shared" si="4"/>
        <v>1.7123287671232876E-2</v>
      </c>
      <c r="F16" s="20">
        <f t="shared" si="4"/>
        <v>1.7123287671232876E-2</v>
      </c>
      <c r="G16" s="20">
        <f t="shared" si="4"/>
        <v>1.0273972602739725E-2</v>
      </c>
      <c r="H16" s="20">
        <f t="shared" si="4"/>
        <v>0</v>
      </c>
      <c r="I16" s="20">
        <f t="shared" si="4"/>
        <v>1.3698630136986301E-2</v>
      </c>
      <c r="J16" s="12">
        <f>SUM(B16:I16)</f>
        <v>8.5616438356164379E-2</v>
      </c>
      <c r="K16" s="12"/>
      <c r="M16" s="2" t="s">
        <v>55</v>
      </c>
      <c r="N16" s="20">
        <f>B16-'Version 4 (LI)'!B16</f>
        <v>0</v>
      </c>
      <c r="O16" s="20">
        <f>C16-'Version 4 (LI)'!C16</f>
        <v>4.7184170471841697E-3</v>
      </c>
      <c r="P16" s="20">
        <f>D16-'Version 4 (LI)'!D16</f>
        <v>4.5662100456620933E-4</v>
      </c>
      <c r="Q16" s="20">
        <f>E16-'Version 4 (LI)'!E16</f>
        <v>6.0121765601217642E-3</v>
      </c>
      <c r="R16" s="20">
        <f>F16-'Version 4 (LI)'!F16</f>
        <v>1.7123287671232876E-2</v>
      </c>
      <c r="S16" s="20">
        <f>G16-'Version 4 (LI)'!G16</f>
        <v>1.9406392694063922E-3</v>
      </c>
      <c r="T16" s="20">
        <f>H16-'Version 4 (LI)'!H16</f>
        <v>-5.5555555555555558E-3</v>
      </c>
      <c r="U16" s="20">
        <f>I16-'Version 4 (LI)'!I16</f>
        <v>-8.5235920852359225E-3</v>
      </c>
      <c r="V16" s="12">
        <f>SUM(N16:U16)</f>
        <v>1.6171993911719935E-2</v>
      </c>
      <c r="X16" s="41" t="s">
        <v>167</v>
      </c>
      <c r="Y16" t="s">
        <v>203</v>
      </c>
      <c r="Z16" t="s">
        <v>204</v>
      </c>
      <c r="AA16" t="s">
        <v>212</v>
      </c>
      <c r="AD16" s="41" t="s">
        <v>167</v>
      </c>
      <c r="AE16" t="s">
        <v>203</v>
      </c>
      <c r="AF16" t="s">
        <v>214</v>
      </c>
      <c r="AG16" t="s">
        <v>212</v>
      </c>
      <c r="AJ16" t="s">
        <v>145</v>
      </c>
      <c r="AK16" t="s">
        <v>146</v>
      </c>
      <c r="AL16" t="s">
        <v>150</v>
      </c>
    </row>
    <row r="17" spans="1:55" x14ac:dyDescent="0.25">
      <c r="A17" s="3" t="s">
        <v>56</v>
      </c>
      <c r="B17" s="20">
        <f t="shared" si="4"/>
        <v>0</v>
      </c>
      <c r="C17" s="20">
        <f t="shared" si="4"/>
        <v>1.3698630136986301E-2</v>
      </c>
      <c r="D17" s="20">
        <f t="shared" si="4"/>
        <v>0</v>
      </c>
      <c r="E17" s="20">
        <f t="shared" si="4"/>
        <v>1.7123287671232876E-2</v>
      </c>
      <c r="F17" s="20">
        <f t="shared" si="4"/>
        <v>1.7123287671232876E-2</v>
      </c>
      <c r="G17" s="20">
        <f t="shared" si="4"/>
        <v>0</v>
      </c>
      <c r="H17" s="20">
        <f t="shared" si="4"/>
        <v>3.4246575342465752E-3</v>
      </c>
      <c r="I17" s="20">
        <f t="shared" si="4"/>
        <v>3.4246575342465752E-3</v>
      </c>
      <c r="J17" s="12">
        <f t="shared" ref="J17:J23" si="5">SUM(B17:I17)</f>
        <v>5.4794520547945202E-2</v>
      </c>
      <c r="K17" s="12"/>
      <c r="M17" s="3" t="s">
        <v>56</v>
      </c>
      <c r="N17" s="20">
        <f>B17-'Version 4 (LI)'!B17</f>
        <v>0</v>
      </c>
      <c r="O17" s="20">
        <f>C17-'Version 4 (LI)'!C17</f>
        <v>8.143074581430744E-3</v>
      </c>
      <c r="P17" s="20">
        <f>D17-'Version 4 (LI)'!D17</f>
        <v>-8.3333333333333332E-3</v>
      </c>
      <c r="Q17" s="20">
        <f>E17-'Version 4 (LI)'!E17</f>
        <v>1.1567732115677319E-2</v>
      </c>
      <c r="R17" s="20">
        <f>F17-'Version 4 (LI)'!F17</f>
        <v>1.4345509893455097E-2</v>
      </c>
      <c r="S17" s="20">
        <f>G17-'Version 4 (LI)'!G17</f>
        <v>-8.3333333333333332E-3</v>
      </c>
      <c r="T17" s="20">
        <f>H17-'Version 4 (LI)'!H17</f>
        <v>-2.1308980213089806E-3</v>
      </c>
      <c r="U17" s="20">
        <f>I17-'Version 4 (LI)'!I17</f>
        <v>6.4687975646879727E-4</v>
      </c>
      <c r="V17" s="12">
        <f t="shared" ref="V17:V23" si="6">SUM(N17:U17)</f>
        <v>1.5905631659056309E-2</v>
      </c>
      <c r="X17">
        <v>1</v>
      </c>
      <c r="Y17" s="35">
        <f>B24</f>
        <v>1.0273972602739725E-2</v>
      </c>
      <c r="Z17" s="35">
        <f>J23</f>
        <v>1.7123287671232876E-2</v>
      </c>
      <c r="AA17" s="35">
        <f>ABS(Y17-Z17)</f>
        <v>6.8493150684931503E-3</v>
      </c>
      <c r="AD17">
        <v>1</v>
      </c>
      <c r="AE17" s="35">
        <f>Y17</f>
        <v>1.0273972602739725E-2</v>
      </c>
      <c r="AF17" s="35">
        <f>J16</f>
        <v>8.5616438356164379E-2</v>
      </c>
      <c r="AG17" s="35">
        <f>ABS(AE17-AF17)</f>
        <v>7.5342465753424653E-2</v>
      </c>
      <c r="AJ17">
        <v>0.1</v>
      </c>
      <c r="AK17">
        <v>1.22</v>
      </c>
      <c r="AL17">
        <f>SQRT((AJ22+AJ23)/(AJ22*AJ23))</f>
        <v>0.16552117772047359</v>
      </c>
      <c r="AM17">
        <f>PRODUCT(AL17, AK17)</f>
        <v>0.20193583681897778</v>
      </c>
    </row>
    <row r="18" spans="1:55" x14ac:dyDescent="0.25">
      <c r="A18" t="s">
        <v>57</v>
      </c>
      <c r="B18" s="20">
        <f t="shared" si="4"/>
        <v>0</v>
      </c>
      <c r="C18" s="20">
        <f t="shared" si="4"/>
        <v>6.8493150684931503E-3</v>
      </c>
      <c r="D18" s="20">
        <f t="shared" si="4"/>
        <v>5.4794520547945202E-2</v>
      </c>
      <c r="E18" s="20">
        <f t="shared" si="4"/>
        <v>6.5068493150684928E-2</v>
      </c>
      <c r="F18" s="20">
        <f t="shared" si="4"/>
        <v>5.1369863013698627E-2</v>
      </c>
      <c r="G18" s="20">
        <f t="shared" si="4"/>
        <v>6.1643835616438353E-2</v>
      </c>
      <c r="H18" s="20">
        <f t="shared" si="4"/>
        <v>1.3698630136986301E-2</v>
      </c>
      <c r="I18" s="20">
        <f t="shared" si="4"/>
        <v>0</v>
      </c>
      <c r="J18" s="12">
        <f t="shared" si="5"/>
        <v>0.25342465753424659</v>
      </c>
      <c r="K18" s="12"/>
      <c r="M18" t="s">
        <v>57</v>
      </c>
      <c r="N18" s="20">
        <f>B18-'Version 4 (LI)'!B18</f>
        <v>0</v>
      </c>
      <c r="O18" s="20">
        <f>C18-'Version 4 (LI)'!C18</f>
        <v>6.8493150684931503E-3</v>
      </c>
      <c r="P18" s="20">
        <f>D18-'Version 4 (LI)'!D18</f>
        <v>2.4238964992389648E-2</v>
      </c>
      <c r="Q18" s="20">
        <f>E18-'Version 4 (LI)'!E18</f>
        <v>3.9573820395738188E-3</v>
      </c>
      <c r="R18" s="20">
        <f>F18-'Version 4 (LI)'!F18</f>
        <v>-1.2519025875190257E-2</v>
      </c>
      <c r="S18" s="20">
        <f>G18-'Version 4 (LI)'!G18</f>
        <v>1.9977168949771688E-2</v>
      </c>
      <c r="T18" s="20">
        <f>H18-'Version 4 (LI)'!H18</f>
        <v>1.3698630136986301E-2</v>
      </c>
      <c r="U18" s="20">
        <f>I18-'Version 4 (LI)'!I18</f>
        <v>0</v>
      </c>
      <c r="V18" s="12">
        <f t="shared" si="6"/>
        <v>5.6202435312024353E-2</v>
      </c>
      <c r="X18" t="s">
        <v>205</v>
      </c>
      <c r="Y18" s="35">
        <f>B24+C24</f>
        <v>5.8219178082191778E-2</v>
      </c>
      <c r="Z18" s="35">
        <f>J23+J22</f>
        <v>6.5068493150684928E-2</v>
      </c>
      <c r="AA18" s="35">
        <f t="shared" ref="AA18:AA24" si="7">ABS(Y18-Z18)</f>
        <v>6.8493150684931503E-3</v>
      </c>
      <c r="AD18" t="s">
        <v>205</v>
      </c>
      <c r="AE18" s="35">
        <f t="shared" ref="AE18:AE24" si="8">Y18</f>
        <v>5.8219178082191778E-2</v>
      </c>
      <c r="AF18" s="35">
        <f>J16+J17</f>
        <v>0.1404109589041096</v>
      </c>
      <c r="AG18" s="35">
        <f t="shared" ref="AG18:AG24" si="9">ABS(AE18-AF18)</f>
        <v>8.2191780821917818E-2</v>
      </c>
      <c r="AJ18">
        <v>0.05</v>
      </c>
      <c r="AK18">
        <v>1.36</v>
      </c>
      <c r="AM18">
        <f>AL17*AK18</f>
        <v>0.2251088016998441</v>
      </c>
    </row>
    <row r="19" spans="1:55" x14ac:dyDescent="0.25">
      <c r="A19" t="s">
        <v>59</v>
      </c>
      <c r="B19" s="20">
        <f t="shared" si="4"/>
        <v>3.4246575342465752E-3</v>
      </c>
      <c r="C19" s="20">
        <f t="shared" si="4"/>
        <v>3.4246575342465752E-3</v>
      </c>
      <c r="D19" s="20">
        <f t="shared" si="4"/>
        <v>3.4246575342465752E-2</v>
      </c>
      <c r="E19" s="20">
        <f t="shared" si="4"/>
        <v>6.8493150684931503E-2</v>
      </c>
      <c r="F19" s="20">
        <f t="shared" si="4"/>
        <v>2.7397260273972601E-2</v>
      </c>
      <c r="G19" s="20">
        <f t="shared" si="4"/>
        <v>2.3972602739726026E-2</v>
      </c>
      <c r="H19" s="20">
        <f t="shared" si="4"/>
        <v>0</v>
      </c>
      <c r="I19" s="20">
        <f t="shared" si="4"/>
        <v>0</v>
      </c>
      <c r="J19" s="12">
        <f t="shared" si="5"/>
        <v>0.16095890410958902</v>
      </c>
      <c r="K19" s="12"/>
      <c r="M19" t="s">
        <v>59</v>
      </c>
      <c r="N19" s="20">
        <f>B19-'Version 4 (LI)'!B19</f>
        <v>3.4246575342465752E-3</v>
      </c>
      <c r="O19" s="20">
        <f>C19-'Version 4 (LI)'!C19</f>
        <v>6.4687975646879727E-4</v>
      </c>
      <c r="P19" s="20">
        <f>D19-'Version 4 (LI)'!D19</f>
        <v>1.7579908675799085E-2</v>
      </c>
      <c r="Q19" s="20">
        <f>E19-'Version 4 (LI)'!E19</f>
        <v>-3.9840182648401834E-2</v>
      </c>
      <c r="R19" s="20">
        <f>F19-'Version 4 (LI)'!F19</f>
        <v>-2.5380517503805176E-2</v>
      </c>
      <c r="S19" s="20">
        <f>G19-'Version 4 (LI)'!G19</f>
        <v>-3.8051750380517502E-3</v>
      </c>
      <c r="T19" s="20">
        <f>H19-'Version 4 (LI)'!H19</f>
        <v>-5.5555555555555558E-3</v>
      </c>
      <c r="U19" s="20">
        <f>I19-'Version 4 (LI)'!I19</f>
        <v>0</v>
      </c>
      <c r="V19" s="12">
        <f t="shared" si="6"/>
        <v>-5.292998477929986E-2</v>
      </c>
      <c r="X19" t="s">
        <v>206</v>
      </c>
      <c r="Y19" s="35">
        <f>B24+C24+D24</f>
        <v>0.27397260273972601</v>
      </c>
      <c r="Z19" s="35">
        <f>J23+J22+J21</f>
        <v>0.18835616438356162</v>
      </c>
      <c r="AA19" s="35">
        <f t="shared" si="7"/>
        <v>8.5616438356164393E-2</v>
      </c>
      <c r="AD19" t="s">
        <v>206</v>
      </c>
      <c r="AE19" s="35">
        <f t="shared" si="8"/>
        <v>0.27397260273972601</v>
      </c>
      <c r="AF19" s="35">
        <f>J16+J17+J18</f>
        <v>0.39383561643835618</v>
      </c>
      <c r="AG19" s="35">
        <f t="shared" si="9"/>
        <v>0.11986301369863017</v>
      </c>
      <c r="AJ19">
        <v>0.01</v>
      </c>
      <c r="AK19">
        <v>1.63</v>
      </c>
      <c r="AM19">
        <f>AL17*AK19</f>
        <v>0.26979951968437194</v>
      </c>
    </row>
    <row r="20" spans="1:55" x14ac:dyDescent="0.25">
      <c r="A20" t="s">
        <v>60</v>
      </c>
      <c r="B20" s="20">
        <f t="shared" si="4"/>
        <v>3.4246575342465752E-3</v>
      </c>
      <c r="C20" s="20">
        <f t="shared" si="4"/>
        <v>3.4246575342465752E-3</v>
      </c>
      <c r="D20" s="20">
        <f t="shared" si="4"/>
        <v>6.1643835616438353E-2</v>
      </c>
      <c r="E20" s="20">
        <f t="shared" si="4"/>
        <v>0.11301369863013698</v>
      </c>
      <c r="F20" s="20">
        <f t="shared" si="4"/>
        <v>2.7397260273972601E-2</v>
      </c>
      <c r="G20" s="20">
        <f t="shared" si="4"/>
        <v>4.4520547945205477E-2</v>
      </c>
      <c r="H20" s="20">
        <f t="shared" si="4"/>
        <v>3.4246575342465752E-3</v>
      </c>
      <c r="I20" s="20">
        <f t="shared" si="4"/>
        <v>0</v>
      </c>
      <c r="J20" s="12">
        <f t="shared" si="5"/>
        <v>0.25684931506849318</v>
      </c>
      <c r="K20" s="12"/>
      <c r="M20" t="s">
        <v>60</v>
      </c>
      <c r="N20" s="20">
        <f>B20-'Version 4 (LI)'!B20</f>
        <v>3.4246575342465752E-3</v>
      </c>
      <c r="O20" s="20">
        <f>C20-'Version 4 (LI)'!C20</f>
        <v>-1.0464231354642313E-2</v>
      </c>
      <c r="P20" s="20">
        <f>D20-'Version 4 (LI)'!D20</f>
        <v>6.0882800608828003E-3</v>
      </c>
      <c r="Q20" s="20">
        <f>E20-'Version 4 (LI)'!E20</f>
        <v>-5.0875190258751909E-2</v>
      </c>
      <c r="R20" s="20">
        <f>F20-'Version 4 (LI)'!F20</f>
        <v>-5.9360730593607317E-3</v>
      </c>
      <c r="S20" s="20">
        <f>G20-'Version 4 (LI)'!G20</f>
        <v>3.6187214611872145E-2</v>
      </c>
      <c r="T20" s="20">
        <f>H20-'Version 4 (LI)'!H20</f>
        <v>-7.6864535768645364E-3</v>
      </c>
      <c r="U20" s="20">
        <f>I20-'Version 4 (LI)'!I20</f>
        <v>-5.5555555555555558E-3</v>
      </c>
      <c r="V20" s="12">
        <f t="shared" si="6"/>
        <v>-3.4817351598173528E-2</v>
      </c>
      <c r="X20" t="s">
        <v>207</v>
      </c>
      <c r="Y20" s="35">
        <f>B24+C24+D24+E24</f>
        <v>0.59589041095890405</v>
      </c>
      <c r="Z20" s="35">
        <f>J23+J22+J21+J20</f>
        <v>0.4452054794520548</v>
      </c>
      <c r="AA20" s="35">
        <f t="shared" si="7"/>
        <v>0.15068493150684925</v>
      </c>
      <c r="AD20" t="s">
        <v>207</v>
      </c>
      <c r="AE20" s="35">
        <f t="shared" si="8"/>
        <v>0.59589041095890405</v>
      </c>
      <c r="AF20" s="35">
        <f>J16+J17+J18+J19</f>
        <v>0.5547945205479452</v>
      </c>
      <c r="AG20" s="35">
        <f t="shared" si="9"/>
        <v>4.1095890410958846E-2</v>
      </c>
    </row>
    <row r="21" spans="1:55" x14ac:dyDescent="0.25">
      <c r="A21" t="s">
        <v>62</v>
      </c>
      <c r="B21" s="20">
        <f t="shared" si="4"/>
        <v>0</v>
      </c>
      <c r="C21" s="20">
        <f t="shared" si="4"/>
        <v>6.8493150684931503E-3</v>
      </c>
      <c r="D21" s="20">
        <f t="shared" si="4"/>
        <v>3.7671232876712327E-2</v>
      </c>
      <c r="E21" s="20">
        <f t="shared" si="4"/>
        <v>2.3972602739726026E-2</v>
      </c>
      <c r="F21" s="20">
        <f t="shared" si="4"/>
        <v>6.8493150684931503E-3</v>
      </c>
      <c r="G21" s="20">
        <f t="shared" si="4"/>
        <v>3.7671232876712327E-2</v>
      </c>
      <c r="H21" s="20">
        <f t="shared" si="4"/>
        <v>6.8493150684931503E-3</v>
      </c>
      <c r="I21" s="20">
        <f t="shared" si="4"/>
        <v>3.4246575342465752E-3</v>
      </c>
      <c r="J21" s="12">
        <f t="shared" si="5"/>
        <v>0.12328767123287671</v>
      </c>
      <c r="K21" s="12"/>
      <c r="M21" t="s">
        <v>62</v>
      </c>
      <c r="N21" s="20">
        <f>B21-'Version 4 (LI)'!B21</f>
        <v>0</v>
      </c>
      <c r="O21" s="20">
        <f>C21-'Version 4 (LI)'!C21</f>
        <v>1.2937595129375945E-3</v>
      </c>
      <c r="P21" s="20">
        <f>D21-'Version 4 (LI)'!D21</f>
        <v>-9.5509893455098943E-3</v>
      </c>
      <c r="Q21" s="20">
        <f>E21-'Version 4 (LI)'!E21</f>
        <v>-6.5829528158295285E-3</v>
      </c>
      <c r="R21" s="20">
        <f>F21-'Version 4 (LI)'!F21</f>
        <v>4.071537290715372E-3</v>
      </c>
      <c r="S21" s="20">
        <f>G21-'Version 4 (LI)'!G21</f>
        <v>2.9337899543378995E-2</v>
      </c>
      <c r="T21" s="20">
        <f>H21-'Version 4 (LI)'!H21</f>
        <v>6.8493150684931503E-3</v>
      </c>
      <c r="U21" s="20">
        <f>I21-'Version 4 (LI)'!I21</f>
        <v>3.4246575342465752E-3</v>
      </c>
      <c r="V21" s="12">
        <f t="shared" si="6"/>
        <v>2.8843226788432264E-2</v>
      </c>
      <c r="X21" t="s">
        <v>208</v>
      </c>
      <c r="Y21" s="35">
        <f>B24+C24+D24+E24+F24</f>
        <v>0.75</v>
      </c>
      <c r="Z21" s="35">
        <f>J23+J22+J21+J20+J19</f>
        <v>0.60616438356164382</v>
      </c>
      <c r="AA21" s="35">
        <f t="shared" si="7"/>
        <v>0.14383561643835618</v>
      </c>
      <c r="AD21" t="s">
        <v>208</v>
      </c>
      <c r="AE21" s="35">
        <f t="shared" si="8"/>
        <v>0.75</v>
      </c>
      <c r="AF21" s="35">
        <f>J16+J17+J18+J19+J20</f>
        <v>0.81164383561643838</v>
      </c>
      <c r="AG21" s="35">
        <f t="shared" si="9"/>
        <v>6.164383561643838E-2</v>
      </c>
      <c r="AJ21" t="s">
        <v>147</v>
      </c>
    </row>
    <row r="22" spans="1:55" x14ac:dyDescent="0.25">
      <c r="A22" t="s">
        <v>63</v>
      </c>
      <c r="B22" s="20">
        <f t="shared" si="4"/>
        <v>3.4246575342465752E-3</v>
      </c>
      <c r="C22" s="20">
        <f t="shared" si="4"/>
        <v>3.4246575342465752E-3</v>
      </c>
      <c r="D22" s="20">
        <f t="shared" si="4"/>
        <v>1.0273972602739725E-2</v>
      </c>
      <c r="E22" s="20">
        <f t="shared" si="4"/>
        <v>1.0273972602739725E-2</v>
      </c>
      <c r="F22" s="20">
        <f t="shared" si="4"/>
        <v>3.4246575342465752E-3</v>
      </c>
      <c r="G22" s="20">
        <f t="shared" si="4"/>
        <v>1.3698630136986301E-2</v>
      </c>
      <c r="H22" s="20">
        <f t="shared" si="4"/>
        <v>0</v>
      </c>
      <c r="I22" s="20">
        <f t="shared" si="4"/>
        <v>3.4246575342465752E-3</v>
      </c>
      <c r="J22" s="12">
        <f t="shared" si="5"/>
        <v>4.7945205479452052E-2</v>
      </c>
      <c r="K22" s="12"/>
      <c r="M22" t="s">
        <v>63</v>
      </c>
      <c r="N22" s="20">
        <f>B22-'Version 4 (LI)'!B22</f>
        <v>3.4246575342465752E-3</v>
      </c>
      <c r="O22" s="20">
        <f>C22-'Version 4 (LI)'!C22</f>
        <v>-2.9908675799086758E-2</v>
      </c>
      <c r="P22" s="20">
        <f>D22-'Version 4 (LI)'!D22</f>
        <v>-1.1948249619482498E-2</v>
      </c>
      <c r="Q22" s="20">
        <f>E22-'Version 4 (LI)'!E22</f>
        <v>-9.1704718417047193E-3</v>
      </c>
      <c r="R22" s="20">
        <f>F22-'Version 4 (LI)'!F22</f>
        <v>3.4246575342465752E-3</v>
      </c>
      <c r="S22" s="20">
        <f>G22-'Version 4 (LI)'!G22</f>
        <v>1.0920852359208522E-2</v>
      </c>
      <c r="T22" s="20">
        <f>H22-'Version 4 (LI)'!H22</f>
        <v>0</v>
      </c>
      <c r="U22" s="20">
        <f>I22-'Version 4 (LI)'!I22</f>
        <v>3.4246575342465752E-3</v>
      </c>
      <c r="V22" s="12">
        <f t="shared" si="6"/>
        <v>-2.9832572298325727E-2</v>
      </c>
      <c r="X22" t="s">
        <v>209</v>
      </c>
      <c r="Y22" s="35">
        <f>B24+C24+D24+E24+F24+G24</f>
        <v>0.94178082191780821</v>
      </c>
      <c r="Z22" s="35">
        <f>J23+J22+J21+J20+J19+J18</f>
        <v>0.8595890410958904</v>
      </c>
      <c r="AA22" s="35">
        <f t="shared" si="7"/>
        <v>8.2191780821917804E-2</v>
      </c>
      <c r="AD22" t="s">
        <v>209</v>
      </c>
      <c r="AE22" s="35">
        <f t="shared" si="8"/>
        <v>0.94178082191780821</v>
      </c>
      <c r="AF22" s="35">
        <f>J16+J17+J18+J19+J20+J21</f>
        <v>0.93493150684931514</v>
      </c>
      <c r="AG22" s="35">
        <f t="shared" si="9"/>
        <v>6.849315068493067E-3</v>
      </c>
      <c r="AI22" t="s">
        <v>186</v>
      </c>
      <c r="AJ22">
        <v>73</v>
      </c>
    </row>
    <row r="23" spans="1:55" x14ac:dyDescent="0.25">
      <c r="A23" t="s">
        <v>64</v>
      </c>
      <c r="B23" s="20">
        <f t="shared" si="4"/>
        <v>0</v>
      </c>
      <c r="C23" s="20">
        <f t="shared" si="4"/>
        <v>0</v>
      </c>
      <c r="D23" s="20">
        <f t="shared" si="4"/>
        <v>0</v>
      </c>
      <c r="E23" s="20">
        <f t="shared" si="4"/>
        <v>6.8493150684931503E-3</v>
      </c>
      <c r="F23" s="20">
        <f t="shared" si="4"/>
        <v>3.4246575342465752E-3</v>
      </c>
      <c r="G23" s="20">
        <f t="shared" si="4"/>
        <v>0</v>
      </c>
      <c r="H23" s="20">
        <f t="shared" si="4"/>
        <v>0</v>
      </c>
      <c r="I23" s="20">
        <f t="shared" si="4"/>
        <v>6.8493150684931503E-3</v>
      </c>
      <c r="J23" s="12">
        <f t="shared" si="5"/>
        <v>1.7123287671232876E-2</v>
      </c>
      <c r="K23" s="12"/>
      <c r="M23" t="s">
        <v>64</v>
      </c>
      <c r="N23" s="20">
        <f>B23-'Version 4 (LI)'!B23</f>
        <v>-2.7777777777777779E-3</v>
      </c>
      <c r="O23" s="20">
        <f>C23-'Version 4 (LI)'!C23</f>
        <v>-5.5555555555555558E-3</v>
      </c>
      <c r="P23" s="20">
        <f>D23-'Version 4 (LI)'!D23</f>
        <v>0</v>
      </c>
      <c r="Q23" s="20">
        <f>E23-'Version 4 (LI)'!E23</f>
        <v>6.8493150684931503E-3</v>
      </c>
      <c r="R23" s="20">
        <f>F23-'Version 4 (LI)'!F23</f>
        <v>3.4246575342465752E-3</v>
      </c>
      <c r="S23" s="20">
        <f>G23-'Version 4 (LI)'!G23</f>
        <v>0</v>
      </c>
      <c r="T23" s="20">
        <f>H23-'Version 4 (LI)'!H23</f>
        <v>-5.5555555555555558E-3</v>
      </c>
      <c r="U23" s="20">
        <f>I23-'Version 4 (LI)'!I23</f>
        <v>4.071537290715372E-3</v>
      </c>
      <c r="V23" s="12">
        <f t="shared" si="6"/>
        <v>4.5662100456620846E-4</v>
      </c>
      <c r="X23" t="s">
        <v>210</v>
      </c>
      <c r="Y23" s="35">
        <f>B24+C24+D24+E24+F24+G24+H24</f>
        <v>0.96917808219178081</v>
      </c>
      <c r="Z23" s="35">
        <f>J23+J22+J21+J20+J19+J18+J17</f>
        <v>0.91438356164383561</v>
      </c>
      <c r="AA23" s="35">
        <f t="shared" si="7"/>
        <v>5.4794520547945202E-2</v>
      </c>
      <c r="AD23" t="s">
        <v>210</v>
      </c>
      <c r="AE23" s="35">
        <f t="shared" si="8"/>
        <v>0.96917808219178081</v>
      </c>
      <c r="AF23" s="35">
        <f>J16+J17+J18+J19+J20+J21+J22</f>
        <v>0.98287671232876717</v>
      </c>
      <c r="AG23" s="35">
        <f t="shared" si="9"/>
        <v>1.3698630136986356E-2</v>
      </c>
      <c r="AI23" t="s">
        <v>186</v>
      </c>
      <c r="AJ23">
        <v>73</v>
      </c>
    </row>
    <row r="24" spans="1:55" x14ac:dyDescent="0.25">
      <c r="A24" s="5" t="s">
        <v>91</v>
      </c>
      <c r="B24" s="21">
        <f>SUM(B16:B23)</f>
        <v>1.0273972602739725E-2</v>
      </c>
      <c r="C24" s="21">
        <f t="shared" ref="C24:I24" si="10">SUM(C16:C23)</f>
        <v>4.7945205479452052E-2</v>
      </c>
      <c r="D24" s="21">
        <f t="shared" si="10"/>
        <v>0.21575342465753422</v>
      </c>
      <c r="E24" s="21">
        <f t="shared" si="10"/>
        <v>0.32191780821917804</v>
      </c>
      <c r="F24" s="21">
        <f t="shared" si="10"/>
        <v>0.1541095890410959</v>
      </c>
      <c r="G24" s="21">
        <f t="shared" si="10"/>
        <v>0.19178082191780821</v>
      </c>
      <c r="H24" s="21">
        <f t="shared" si="10"/>
        <v>2.7397260273972601E-2</v>
      </c>
      <c r="I24" s="21">
        <f t="shared" si="10"/>
        <v>3.0821917808219176E-2</v>
      </c>
      <c r="J24" s="19">
        <f>SUM(B24:I24)</f>
        <v>1</v>
      </c>
      <c r="K24" s="4"/>
      <c r="M24" s="5" t="s">
        <v>91</v>
      </c>
      <c r="N24" s="13">
        <f>SUM(N16:N23)</f>
        <v>7.4961948249619471E-3</v>
      </c>
      <c r="O24" s="13">
        <f t="shared" ref="O24:U24" si="11">SUM(O16:O23)</f>
        <v>-2.4277016742770174E-2</v>
      </c>
      <c r="P24" s="13">
        <f t="shared" si="11"/>
        <v>1.8531202435312023E-2</v>
      </c>
      <c r="Q24" s="13">
        <f>SUM(Q16:Q23)</f>
        <v>-7.8082191780821944E-2</v>
      </c>
      <c r="R24" s="13">
        <f t="shared" si="11"/>
        <v>-1.4459665144596727E-3</v>
      </c>
      <c r="S24" s="13">
        <f t="shared" si="11"/>
        <v>8.6225266362252653E-2</v>
      </c>
      <c r="T24" s="13">
        <f t="shared" si="11"/>
        <v>-5.9360730593607334E-3</v>
      </c>
      <c r="U24" s="13">
        <f t="shared" si="11"/>
        <v>-2.51141552511416E-3</v>
      </c>
      <c r="V24" s="19">
        <f>SUM(N24:U24)</f>
        <v>-6.0715321659188248E-17</v>
      </c>
      <c r="X24" t="s">
        <v>211</v>
      </c>
      <c r="Y24" s="35">
        <f>B24+C24+D24+E24+F24+G24+H24+I24</f>
        <v>1</v>
      </c>
      <c r="Z24" s="35">
        <f>J23+J22+J21+J20+J19+J18+J17+J16</f>
        <v>1</v>
      </c>
      <c r="AA24" s="35">
        <f t="shared" si="7"/>
        <v>0</v>
      </c>
      <c r="AD24" t="s">
        <v>211</v>
      </c>
      <c r="AE24" s="35">
        <f t="shared" si="8"/>
        <v>1</v>
      </c>
      <c r="AF24" s="35">
        <f>J16+J17+J18+J19+J20+J21+J22+J23</f>
        <v>1</v>
      </c>
      <c r="AG24" s="35">
        <f t="shared" si="9"/>
        <v>0</v>
      </c>
    </row>
    <row r="25" spans="1:55" x14ac:dyDescent="0.25">
      <c r="A25" s="5" t="s">
        <v>88</v>
      </c>
      <c r="B25" s="6" t="s">
        <v>64</v>
      </c>
      <c r="C25" s="6" t="s">
        <v>63</v>
      </c>
      <c r="D25" s="6" t="s">
        <v>62</v>
      </c>
      <c r="E25" s="6" t="s">
        <v>60</v>
      </c>
      <c r="F25" s="6" t="s">
        <v>59</v>
      </c>
      <c r="G25" s="6" t="s">
        <v>57</v>
      </c>
      <c r="H25" s="6" t="s">
        <v>89</v>
      </c>
      <c r="I25" s="6" t="s">
        <v>55</v>
      </c>
      <c r="J25" s="4"/>
      <c r="K25" s="4"/>
      <c r="M25" s="5" t="s">
        <v>88</v>
      </c>
      <c r="N25" s="6" t="s">
        <v>64</v>
      </c>
      <c r="O25" s="6" t="s">
        <v>63</v>
      </c>
      <c r="P25" s="6" t="s">
        <v>62</v>
      </c>
      <c r="Q25" s="6" t="s">
        <v>60</v>
      </c>
      <c r="R25" s="6" t="s">
        <v>59</v>
      </c>
      <c r="S25" s="6" t="s">
        <v>57</v>
      </c>
      <c r="T25" s="6" t="s">
        <v>89</v>
      </c>
      <c r="U25" s="6" t="s">
        <v>55</v>
      </c>
      <c r="V25" s="4"/>
      <c r="X25" s="35"/>
      <c r="Y25" s="35"/>
      <c r="Z25" s="35"/>
      <c r="AA25" s="35">
        <f>MAX(AA17:AA24)</f>
        <v>0.15068493150684925</v>
      </c>
      <c r="AD25" s="35"/>
      <c r="AE25" s="35"/>
      <c r="AF25" s="35"/>
      <c r="AG25" s="35">
        <f t="shared" ref="AG25" si="12">MAX(AG17:AG24)</f>
        <v>0.11986301369863017</v>
      </c>
    </row>
    <row r="26" spans="1:55" x14ac:dyDescent="0.25">
      <c r="A26" s="8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55" x14ac:dyDescent="0.25">
      <c r="A27" s="8" t="s">
        <v>103</v>
      </c>
      <c r="B27" s="7"/>
      <c r="C27" s="7"/>
      <c r="D27" s="7"/>
      <c r="E27" s="7"/>
      <c r="F27" s="7"/>
      <c r="G27" s="8" t="s">
        <v>104</v>
      </c>
      <c r="H27" s="7"/>
      <c r="I27" s="7"/>
      <c r="J27" s="7"/>
      <c r="K27" s="7"/>
    </row>
    <row r="28" spans="1:55" x14ac:dyDescent="0.25">
      <c r="A28" s="8" t="s">
        <v>67</v>
      </c>
      <c r="B28" s="7" t="s">
        <v>68</v>
      </c>
      <c r="C28" s="7" t="s">
        <v>69</v>
      </c>
      <c r="D28" s="7" t="s">
        <v>70</v>
      </c>
      <c r="E28" s="7" t="s">
        <v>69</v>
      </c>
      <c r="F28" s="7"/>
      <c r="G28" s="8" t="s">
        <v>102</v>
      </c>
      <c r="H28" s="7" t="s">
        <v>68</v>
      </c>
      <c r="I28" s="7" t="s">
        <v>69</v>
      </c>
      <c r="J28" s="7" t="s">
        <v>70</v>
      </c>
      <c r="K28" s="7" t="s">
        <v>69</v>
      </c>
      <c r="M28" s="34" t="s">
        <v>5</v>
      </c>
      <c r="S28" t="s">
        <v>153</v>
      </c>
      <c r="X28" t="s">
        <v>152</v>
      </c>
      <c r="AD28" t="s">
        <v>153</v>
      </c>
      <c r="AI28" t="s">
        <v>155</v>
      </c>
      <c r="AO28" t="s">
        <v>153</v>
      </c>
      <c r="AT28" t="s">
        <v>296</v>
      </c>
      <c r="AZ28" t="s">
        <v>153</v>
      </c>
    </row>
    <row r="29" spans="1:55" x14ac:dyDescent="0.25">
      <c r="A29" t="s">
        <v>71</v>
      </c>
      <c r="B29">
        <f>J11</f>
        <v>292</v>
      </c>
      <c r="C29" s="9">
        <f>B29/B29</f>
        <v>1</v>
      </c>
      <c r="D29">
        <v>64</v>
      </c>
      <c r="E29" s="9">
        <f>D29/D29</f>
        <v>1</v>
      </c>
      <c r="G29" t="s">
        <v>71</v>
      </c>
      <c r="H29">
        <f>J11</f>
        <v>292</v>
      </c>
      <c r="I29" s="9">
        <f t="shared" ref="I29:I39" si="13">H29/$H$29</f>
        <v>1</v>
      </c>
      <c r="J29">
        <v>64</v>
      </c>
      <c r="K29" s="9">
        <f>J29/J29</f>
        <v>1</v>
      </c>
      <c r="M29" t="s">
        <v>160</v>
      </c>
      <c r="N29" t="s">
        <v>13</v>
      </c>
      <c r="O29" t="s">
        <v>14</v>
      </c>
      <c r="P29" t="s">
        <v>39</v>
      </c>
      <c r="S29" t="s">
        <v>145</v>
      </c>
      <c r="T29" t="s">
        <v>146</v>
      </c>
      <c r="U29" t="s">
        <v>150</v>
      </c>
      <c r="Y29" t="s">
        <v>151</v>
      </c>
      <c r="Z29" t="s">
        <v>14</v>
      </c>
      <c r="AA29" t="s">
        <v>39</v>
      </c>
      <c r="AD29" t="s">
        <v>145</v>
      </c>
      <c r="AE29" t="s">
        <v>146</v>
      </c>
      <c r="AF29" t="s">
        <v>150</v>
      </c>
      <c r="AJ29" t="s">
        <v>156</v>
      </c>
      <c r="AK29" t="s">
        <v>157</v>
      </c>
      <c r="AL29" t="s">
        <v>39</v>
      </c>
      <c r="AO29" t="s">
        <v>145</v>
      </c>
      <c r="AP29" t="s">
        <v>146</v>
      </c>
      <c r="AQ29" t="s">
        <v>150</v>
      </c>
      <c r="AU29" t="s">
        <v>156</v>
      </c>
      <c r="AV29" t="s">
        <v>151</v>
      </c>
      <c r="AW29" t="s">
        <v>39</v>
      </c>
      <c r="AZ29" t="s">
        <v>145</v>
      </c>
      <c r="BA29" t="s">
        <v>146</v>
      </c>
      <c r="BB29" t="s">
        <v>150</v>
      </c>
    </row>
    <row r="30" spans="1:55" x14ac:dyDescent="0.25">
      <c r="A30" t="s">
        <v>66</v>
      </c>
      <c r="B30">
        <f>B3+C3+B4</f>
        <v>3</v>
      </c>
      <c r="C30" s="11">
        <f t="shared" ref="C30:C39" si="14">B30/B$29</f>
        <v>1.0273972602739725E-2</v>
      </c>
      <c r="D30">
        <v>3</v>
      </c>
      <c r="E30" s="9">
        <f t="shared" ref="E30:E39" si="15">D30/D$29</f>
        <v>4.6875E-2</v>
      </c>
      <c r="G30" t="s">
        <v>116</v>
      </c>
      <c r="H30">
        <f>B3</f>
        <v>0</v>
      </c>
      <c r="I30" s="9">
        <f t="shared" si="13"/>
        <v>0</v>
      </c>
      <c r="J30">
        <v>1</v>
      </c>
      <c r="K30" s="9">
        <f t="shared" ref="K30:K39" si="16">J30/J$29</f>
        <v>1.5625E-2</v>
      </c>
      <c r="M30" t="s">
        <v>6</v>
      </c>
      <c r="N30" s="35">
        <f>'Version 4 (LI)'!B24</f>
        <v>2.7777777777777779E-3</v>
      </c>
      <c r="O30" s="35">
        <f>$B$24</f>
        <v>1.0273972602739725E-2</v>
      </c>
      <c r="P30" s="35">
        <f t="shared" ref="P30:P37" si="17">ABS(N30-O30)</f>
        <v>7.4961948249619471E-3</v>
      </c>
      <c r="S30">
        <v>0.1</v>
      </c>
      <c r="T30">
        <v>1.22</v>
      </c>
      <c r="U30">
        <f>SQRT((S35+S36)/(S35*S36))</f>
        <v>0.15751108293735211</v>
      </c>
      <c r="V30">
        <f>PRODUCT(U30, T30)</f>
        <v>0.19216352118356958</v>
      </c>
      <c r="X30" t="s">
        <v>6</v>
      </c>
      <c r="Y30" s="35">
        <f>'Version 3 (GI3) on-site'!B24</f>
        <v>2.1875000000000002E-2</v>
      </c>
      <c r="Z30" s="35">
        <v>1.0273972602739725E-2</v>
      </c>
      <c r="AA30" s="35">
        <f t="shared" ref="AA30:AA37" si="18">ABS(Y30-Z30)</f>
        <v>1.1601027397260277E-2</v>
      </c>
      <c r="AD30">
        <v>0.1</v>
      </c>
      <c r="AE30">
        <v>1.22</v>
      </c>
      <c r="AF30">
        <f>SQRT((AD35+AD36)/(AD35*AD36))</f>
        <v>0.16185990898609298</v>
      </c>
      <c r="AG30">
        <f>PRODUCT(AF30, AE30)</f>
        <v>0.19746908896303345</v>
      </c>
      <c r="AI30" t="s">
        <v>6</v>
      </c>
      <c r="AJ30" s="35">
        <f>'Version 1 (GI1) on-site'!B24</f>
        <v>1.1029411764705881E-2</v>
      </c>
      <c r="AK30" s="35">
        <f>'Version 2 (GI2) on-site'!B24</f>
        <v>3.2894736842105261E-3</v>
      </c>
      <c r="AL30" s="35">
        <f t="shared" ref="AL30:AL37" si="19">ABS(AJ30-AK30)</f>
        <v>7.7399380804953552E-3</v>
      </c>
      <c r="AO30">
        <v>0.1</v>
      </c>
      <c r="AP30">
        <v>1.22</v>
      </c>
      <c r="AQ30">
        <f>SQRT((AO35+AO36)/(AO35*AO36))</f>
        <v>0.16692446522239718</v>
      </c>
      <c r="AR30">
        <f>PRODUCT(AQ30, AP30)</f>
        <v>0.20364784757132456</v>
      </c>
      <c r="AT30" t="s">
        <v>6</v>
      </c>
      <c r="AU30" s="35">
        <v>1.1029411764705881E-2</v>
      </c>
      <c r="AV30" s="35">
        <v>2.1875000000000002E-2</v>
      </c>
      <c r="AW30" s="70">
        <f t="shared" ref="AW30:AW37" si="20">ABS(AU30-AV30)</f>
        <v>1.0845588235294121E-2</v>
      </c>
      <c r="AZ30">
        <v>0.1</v>
      </c>
      <c r="BA30">
        <v>1.22</v>
      </c>
      <c r="BB30">
        <f>SQRT((AZ35+AZ36)/(AZ35*AZ36))</f>
        <v>0.16494205756247002</v>
      </c>
      <c r="BC30">
        <f>PRODUCT(BB30, BA30)</f>
        <v>0.20122931022621343</v>
      </c>
    </row>
    <row r="31" spans="1:55" x14ac:dyDescent="0.25">
      <c r="A31" t="s">
        <v>72</v>
      </c>
      <c r="B31">
        <f>B3+B4+C3+C4+C5+D4+D5+D6+E5+E6+E7+F6</f>
        <v>115</v>
      </c>
      <c r="C31" s="11">
        <f t="shared" si="14"/>
        <v>0.39383561643835618</v>
      </c>
      <c r="D31">
        <v>12</v>
      </c>
      <c r="E31" s="9">
        <f t="shared" si="15"/>
        <v>0.1875</v>
      </c>
      <c r="G31" t="s">
        <v>117</v>
      </c>
      <c r="H31">
        <f>B3+C4+D5+E6</f>
        <v>40</v>
      </c>
      <c r="I31" s="9">
        <f t="shared" si="13"/>
        <v>0.13698630136986301</v>
      </c>
      <c r="J31">
        <v>4</v>
      </c>
      <c r="K31" s="9">
        <f t="shared" si="16"/>
        <v>6.25E-2</v>
      </c>
      <c r="M31" t="s">
        <v>7</v>
      </c>
      <c r="N31" s="35">
        <f>'Version 4 (LI)'!B24+'Version 4 (LI)'!C24</f>
        <v>7.4999999999999997E-2</v>
      </c>
      <c r="O31" s="35">
        <f>$B$24+$C$24</f>
        <v>5.8219178082191778E-2</v>
      </c>
      <c r="P31" s="35">
        <f t="shared" si="17"/>
        <v>1.678082191780822E-2</v>
      </c>
      <c r="S31">
        <v>0.05</v>
      </c>
      <c r="T31">
        <v>1.36</v>
      </c>
      <c r="V31">
        <f>U30*T31</f>
        <v>0.21421507279479887</v>
      </c>
      <c r="X31" t="s">
        <v>7</v>
      </c>
      <c r="Y31" s="35">
        <f>'Version 3 (GI3) on-site'!B24+'Version 3 (GI3) on-site'!C24</f>
        <v>8.4375000000000006E-2</v>
      </c>
      <c r="Z31" s="35">
        <v>5.8219178082191778E-2</v>
      </c>
      <c r="AA31" s="35">
        <f t="shared" si="18"/>
        <v>2.6155821917808228E-2</v>
      </c>
      <c r="AD31">
        <v>0.05</v>
      </c>
      <c r="AE31">
        <v>1.36</v>
      </c>
      <c r="AG31">
        <f>AF30*AE31</f>
        <v>0.22012947622108647</v>
      </c>
      <c r="AI31" t="s">
        <v>7</v>
      </c>
      <c r="AJ31" s="35">
        <f>'Version 1 (GI1) on-site'!B24+'Version 1 (GI1) on-site'!C24</f>
        <v>1.8382352941176468E-2</v>
      </c>
      <c r="AK31" s="35">
        <f>'Version 2 (GI2) on-site'!B24+'Version 1 (GI1) on-site'!C24</f>
        <v>1.0642414860681114E-2</v>
      </c>
      <c r="AL31" s="35">
        <f t="shared" si="19"/>
        <v>7.7399380804953535E-3</v>
      </c>
      <c r="AO31">
        <v>0.05</v>
      </c>
      <c r="AP31">
        <v>1.36</v>
      </c>
      <c r="AR31">
        <f>AQ30*AP31</f>
        <v>0.22701727270246017</v>
      </c>
      <c r="AT31" t="s">
        <v>7</v>
      </c>
      <c r="AU31" s="35">
        <v>1.8382352941176468E-2</v>
      </c>
      <c r="AV31" s="35">
        <v>8.4375000000000006E-2</v>
      </c>
      <c r="AW31" s="70">
        <f t="shared" si="20"/>
        <v>6.5992647058823545E-2</v>
      </c>
      <c r="AZ31">
        <v>0.05</v>
      </c>
      <c r="BA31">
        <v>1.36</v>
      </c>
      <c r="BC31">
        <f>BB30*BA31</f>
        <v>0.22432119828495925</v>
      </c>
    </row>
    <row r="32" spans="1:55" x14ac:dyDescent="0.25">
      <c r="A32" t="s">
        <v>73</v>
      </c>
      <c r="B32">
        <f>SUM(B3:B7, C3:C7, D3:D7, E3:E7, F3:F6)</f>
        <v>177</v>
      </c>
      <c r="C32" s="11">
        <f t="shared" si="14"/>
        <v>0.60616438356164382</v>
      </c>
      <c r="D32">
        <v>24</v>
      </c>
      <c r="E32" s="9">
        <f t="shared" si="15"/>
        <v>0.375</v>
      </c>
      <c r="G32" t="s">
        <v>118</v>
      </c>
      <c r="H32">
        <f>SUM(B3:B6) + SUM(C3:C6) + SUM(D3:D6) + SUM(E3:E6)</f>
        <v>91</v>
      </c>
      <c r="I32" s="9">
        <f t="shared" si="13"/>
        <v>0.31164383561643838</v>
      </c>
      <c r="J32">
        <v>16</v>
      </c>
      <c r="K32" s="9">
        <f t="shared" si="16"/>
        <v>0.25</v>
      </c>
      <c r="M32" t="s">
        <v>8</v>
      </c>
      <c r="N32" s="35">
        <f>'Version 4 (LI)'!B24+'Version 4 (LI)'!C24+'Version 4 (LI)'!D24</f>
        <v>0.2722222222222222</v>
      </c>
      <c r="O32" s="35">
        <f>$B$24+$C$24+$D$24</f>
        <v>0.27397260273972601</v>
      </c>
      <c r="P32" s="35">
        <f t="shared" si="17"/>
        <v>1.7503805175038134E-3</v>
      </c>
      <c r="S32">
        <v>0.01</v>
      </c>
      <c r="T32">
        <v>1.63</v>
      </c>
      <c r="V32">
        <f>U30*T32</f>
        <v>0.25674306518788392</v>
      </c>
      <c r="X32" t="s">
        <v>8</v>
      </c>
      <c r="Y32" s="35">
        <f>'Version 3 (GI3) on-site'!B24+'Version 3 (GI3) on-site'!C24+'Version 3 (GI3) on-site'!D24</f>
        <v>0.33437499999999998</v>
      </c>
      <c r="Z32" s="35">
        <v>0.27397260273972601</v>
      </c>
      <c r="AA32" s="35">
        <f t="shared" si="18"/>
        <v>6.0402397260273966E-2</v>
      </c>
      <c r="AD32">
        <v>0.01</v>
      </c>
      <c r="AE32">
        <v>1.63</v>
      </c>
      <c r="AG32">
        <f>AF30*AE32</f>
        <v>0.26383165164733152</v>
      </c>
      <c r="AI32" t="s">
        <v>8</v>
      </c>
      <c r="AJ32" s="35">
        <f>'Version 1 (GI1) on-site'!B24+'Version 1 (GI1) on-site'!C24+'Version 1 (GI1) on-site'!D24</f>
        <v>0.17279411764705882</v>
      </c>
      <c r="AK32" s="35">
        <f>'Version 2 (GI2) on-site'!B24+'Version 2 (GI2) on-site'!C24+'Version 2 (GI2) on-site'!D24</f>
        <v>0.30921052631578949</v>
      </c>
      <c r="AL32" s="35">
        <f t="shared" si="19"/>
        <v>0.13641640866873067</v>
      </c>
      <c r="AO32">
        <v>0.01</v>
      </c>
      <c r="AP32">
        <v>1.63</v>
      </c>
      <c r="AR32">
        <f>AQ30*AP32</f>
        <v>0.27208687831250739</v>
      </c>
      <c r="AT32" t="s">
        <v>8</v>
      </c>
      <c r="AU32" s="35">
        <v>0.17279411764705882</v>
      </c>
      <c r="AV32" s="35">
        <v>0.33437499999999998</v>
      </c>
      <c r="AW32" s="70">
        <f t="shared" si="20"/>
        <v>0.16158088235294116</v>
      </c>
      <c r="AZ32">
        <v>0.01</v>
      </c>
      <c r="BA32">
        <v>1.63</v>
      </c>
      <c r="BC32">
        <f>BB30*BA32</f>
        <v>0.26885555382682613</v>
      </c>
    </row>
    <row r="33" spans="1:55" x14ac:dyDescent="0.25">
      <c r="A33" t="s">
        <v>74</v>
      </c>
      <c r="B33">
        <f>SUM(B3:B10, C3:C9, D3:D8, E3:E7, F3:F6, G3:G5, H3:H4, I3)</f>
        <v>218</v>
      </c>
      <c r="C33" s="11">
        <f t="shared" si="14"/>
        <v>0.74657534246575341</v>
      </c>
      <c r="D33">
        <v>36</v>
      </c>
      <c r="E33" s="9">
        <f t="shared" si="15"/>
        <v>0.5625</v>
      </c>
      <c r="G33" t="s">
        <v>119</v>
      </c>
      <c r="H33">
        <f>SUM(B3:B9)+SUM(C3:C8)+SUM(D3:D7)+SUM(E3:E6)+SUM(F3:F5)+SUM(G3:G4)+H3</f>
        <v>142</v>
      </c>
      <c r="I33" s="9">
        <f t="shared" si="13"/>
        <v>0.4863013698630137</v>
      </c>
      <c r="J33">
        <v>28</v>
      </c>
      <c r="K33" s="9">
        <f t="shared" si="16"/>
        <v>0.4375</v>
      </c>
      <c r="M33" t="s">
        <v>9</v>
      </c>
      <c r="N33" s="35">
        <f>'Version 4 (LI)'!B24+'Version 4 (LI)'!C24+'Version 4 (LI)'!D24+'Version 4 (LI)'!E24</f>
        <v>0.67222222222222217</v>
      </c>
      <c r="O33" s="35">
        <f>SUM($B$24:$E$24)</f>
        <v>0.59589041095890405</v>
      </c>
      <c r="P33" s="35">
        <f t="shared" si="17"/>
        <v>7.6331811263318117E-2</v>
      </c>
      <c r="R33" t="s">
        <v>293</v>
      </c>
      <c r="V33" s="35">
        <f>MAX(P38, P48, P65)</f>
        <v>0.10563165905631663</v>
      </c>
      <c r="X33" t="s">
        <v>9</v>
      </c>
      <c r="Y33" s="35">
        <f>Y32+'Version 3 (GI3) on-site'!E24</f>
        <v>0.73749999999999993</v>
      </c>
      <c r="Z33" s="35">
        <v>0.59589041095890405</v>
      </c>
      <c r="AA33" s="35">
        <f t="shared" si="18"/>
        <v>0.14160958904109588</v>
      </c>
      <c r="AC33" t="s">
        <v>293</v>
      </c>
      <c r="AG33" s="35">
        <f>MAX(AA38, AA48, AA65)</f>
        <v>0.14160958904109588</v>
      </c>
      <c r="AI33" t="s">
        <v>9</v>
      </c>
      <c r="AJ33" s="35">
        <f>AJ32+'Version 1 (GI1) on-site'!E24</f>
        <v>0.53308823529411764</v>
      </c>
      <c r="AK33" s="35">
        <f>AK32+'Version 2 (GI2) on-site'!E24</f>
        <v>0.69407894736842102</v>
      </c>
      <c r="AL33" s="35">
        <f t="shared" si="19"/>
        <v>0.16099071207430338</v>
      </c>
      <c r="AO33" t="s">
        <v>294</v>
      </c>
      <c r="AR33" s="35">
        <f>MAX(AL38, AL48, AL65)</f>
        <v>0.22407120743034048</v>
      </c>
      <c r="AT33" t="s">
        <v>9</v>
      </c>
      <c r="AU33" s="35">
        <v>0.53308823529411764</v>
      </c>
      <c r="AV33" s="35">
        <v>0.73749999999999993</v>
      </c>
      <c r="AW33" s="70">
        <f t="shared" si="20"/>
        <v>0.20441176470588229</v>
      </c>
      <c r="AZ33" t="s">
        <v>294</v>
      </c>
      <c r="BC33">
        <f>MAX(AW38, AW48, AW65)</f>
        <v>0.20680147058823528</v>
      </c>
    </row>
    <row r="34" spans="1:55" x14ac:dyDescent="0.25">
      <c r="A34" t="s">
        <v>75</v>
      </c>
      <c r="B34">
        <f>SUM(B9:B10, C8:C10, D7:D9, E6:E8, F5:F7, G4:G6, H3:H5, I3:I4)</f>
        <v>162</v>
      </c>
      <c r="C34" s="11">
        <f t="shared" si="14"/>
        <v>0.5547945205479452</v>
      </c>
      <c r="D34">
        <v>22</v>
      </c>
      <c r="E34" s="9">
        <f t="shared" si="15"/>
        <v>0.34375</v>
      </c>
      <c r="G34" t="s">
        <v>120</v>
      </c>
      <c r="H34">
        <f>B10+C9+D8+E7+F6+G5+H4+I3+E6+F7</f>
        <v>104</v>
      </c>
      <c r="I34" s="22">
        <f t="shared" si="13"/>
        <v>0.35616438356164382</v>
      </c>
      <c r="J34">
        <v>10</v>
      </c>
      <c r="K34" s="9">
        <f t="shared" si="16"/>
        <v>0.15625</v>
      </c>
      <c r="M34" t="s">
        <v>10</v>
      </c>
      <c r="N34" s="35">
        <f>'Version 4 (LI)'!B24+'Version 4 (LI)'!C24+'Version 4 (LI)'!D24+'Version 4 (LI)'!E24+'Version 4 (LI)'!F24</f>
        <v>0.82777777777777772</v>
      </c>
      <c r="O34" s="35">
        <f>SUM($B$24:$F$24)</f>
        <v>0.75</v>
      </c>
      <c r="P34" s="35">
        <f t="shared" si="17"/>
        <v>7.7777777777777724E-2</v>
      </c>
      <c r="S34" t="s">
        <v>147</v>
      </c>
      <c r="X34" t="s">
        <v>10</v>
      </c>
      <c r="Y34" s="35">
        <f>Y33+'Version 3 (GI3) on-site'!F24</f>
        <v>0.890625</v>
      </c>
      <c r="Z34" s="35">
        <v>0.75</v>
      </c>
      <c r="AA34" s="35">
        <f t="shared" si="18"/>
        <v>0.140625</v>
      </c>
      <c r="AD34" t="s">
        <v>147</v>
      </c>
      <c r="AI34" t="s">
        <v>10</v>
      </c>
      <c r="AJ34" s="35">
        <f>AJ33+'Version 1 (GI1) on-site'!F24</f>
        <v>0.68382352941176472</v>
      </c>
      <c r="AK34" s="35">
        <f>AK33+'Version 2 (GI2) on-site'!F24</f>
        <v>0.9078947368421052</v>
      </c>
      <c r="AL34" s="35">
        <f t="shared" si="19"/>
        <v>0.22407120743034048</v>
      </c>
      <c r="AO34" t="s">
        <v>147</v>
      </c>
      <c r="AT34" t="s">
        <v>10</v>
      </c>
      <c r="AU34" s="35">
        <v>0.68382352941176472</v>
      </c>
      <c r="AV34" s="35">
        <v>0.890625</v>
      </c>
      <c r="AW34" s="70">
        <f t="shared" si="20"/>
        <v>0.20680147058823528</v>
      </c>
      <c r="AZ34" t="s">
        <v>147</v>
      </c>
    </row>
    <row r="35" spans="1:55" x14ac:dyDescent="0.25">
      <c r="A35" t="s">
        <v>76</v>
      </c>
      <c r="B35">
        <f>SUM(E6:E7, F6:F7)</f>
        <v>69</v>
      </c>
      <c r="C35" s="11">
        <f t="shared" si="14"/>
        <v>0.2363013698630137</v>
      </c>
      <c r="D35">
        <v>4</v>
      </c>
      <c r="E35" s="9">
        <f t="shared" si="15"/>
        <v>6.25E-2</v>
      </c>
      <c r="G35" t="s">
        <v>121</v>
      </c>
      <c r="H35">
        <f>E7+F6</f>
        <v>41</v>
      </c>
      <c r="I35" s="22">
        <f t="shared" si="13"/>
        <v>0.1404109589041096</v>
      </c>
      <c r="J35">
        <v>2</v>
      </c>
      <c r="K35" s="9">
        <f t="shared" si="16"/>
        <v>3.125E-2</v>
      </c>
      <c r="M35" t="s">
        <v>11</v>
      </c>
      <c r="N35" s="35">
        <f>'Version 4 (LI)'!B24+'Version 4 (LI)'!C24+'Version 4 (LI)'!D24+'Version 4 (LI)'!E24+'Version 4 (LI)'!F24+'Version 4 (LI)'!G24</f>
        <v>0.93333333333333324</v>
      </c>
      <c r="O35" s="35">
        <f>SUM($B$24:$G$24)</f>
        <v>0.94178082191780821</v>
      </c>
      <c r="P35" s="35">
        <f t="shared" si="17"/>
        <v>8.4474885844749714E-3</v>
      </c>
      <c r="R35" t="s">
        <v>148</v>
      </c>
      <c r="S35">
        <v>90</v>
      </c>
      <c r="X35" t="s">
        <v>11</v>
      </c>
      <c r="Y35" s="35">
        <f>Y34+'Version 3 (GI3) on-site'!G24</f>
        <v>0.94374999999999998</v>
      </c>
      <c r="Z35" s="35">
        <v>0.94178082191780821</v>
      </c>
      <c r="AA35" s="35">
        <f t="shared" si="18"/>
        <v>1.9691780821917693E-3</v>
      </c>
      <c r="AC35" t="s">
        <v>154</v>
      </c>
      <c r="AD35">
        <v>80</v>
      </c>
      <c r="AI35" t="s">
        <v>11</v>
      </c>
      <c r="AJ35" s="35">
        <f>AJ34+'Version 1 (GI1) on-site'!G24</f>
        <v>0.84558823529411764</v>
      </c>
      <c r="AK35" s="35">
        <f>AK34+'Version 2 (GI2) on-site'!G24</f>
        <v>0.96381578947368418</v>
      </c>
      <c r="AL35" s="35">
        <f t="shared" si="19"/>
        <v>0.11822755417956654</v>
      </c>
      <c r="AN35" t="s">
        <v>158</v>
      </c>
      <c r="AO35">
        <v>68</v>
      </c>
      <c r="AT35" t="s">
        <v>11</v>
      </c>
      <c r="AU35" s="35">
        <v>0.84558823529411764</v>
      </c>
      <c r="AV35" s="35">
        <v>0.94374999999999998</v>
      </c>
      <c r="AW35" s="70">
        <f t="shared" si="20"/>
        <v>9.8161764705882337E-2</v>
      </c>
      <c r="AY35" t="s">
        <v>158</v>
      </c>
      <c r="AZ35">
        <v>68</v>
      </c>
    </row>
    <row r="36" spans="1:55" x14ac:dyDescent="0.25">
      <c r="A36" t="s">
        <v>200</v>
      </c>
      <c r="B36">
        <f>I10</f>
        <v>2</v>
      </c>
      <c r="C36" s="11">
        <f t="shared" si="14"/>
        <v>6.8493150684931503E-3</v>
      </c>
      <c r="D36">
        <v>3</v>
      </c>
      <c r="E36" s="9">
        <f t="shared" si="15"/>
        <v>4.6875E-2</v>
      </c>
      <c r="G36" t="s">
        <v>198</v>
      </c>
      <c r="H36">
        <f>I10</f>
        <v>2</v>
      </c>
      <c r="I36" s="14">
        <f t="shared" si="13"/>
        <v>6.8493150684931503E-3</v>
      </c>
      <c r="J36">
        <v>1</v>
      </c>
      <c r="K36" s="9">
        <f t="shared" si="16"/>
        <v>1.5625E-2</v>
      </c>
      <c r="M36" t="s">
        <v>12</v>
      </c>
      <c r="N36" s="35">
        <f>'Version 4 (LI)'!B24+'Version 4 (LI)'!C24+'Version 4 (LI)'!D24+'Version 4 (LI)'!E24+'Version 4 (LI)'!F24+'Version 4 (LI)'!G24+'Version 4 (LI)'!H24</f>
        <v>0.96666666666666656</v>
      </c>
      <c r="O36" s="35">
        <f>SUM(B24:H24)</f>
        <v>0.96917808219178081</v>
      </c>
      <c r="P36" s="35">
        <f t="shared" si="17"/>
        <v>2.5114155251142467E-3</v>
      </c>
      <c r="R36" t="s">
        <v>149</v>
      </c>
      <c r="S36">
        <v>73</v>
      </c>
      <c r="X36" t="s">
        <v>12</v>
      </c>
      <c r="Y36" s="35">
        <f>Y35+'Version 3 (GI3) on-site'!H24</f>
        <v>0.97499999999999998</v>
      </c>
      <c r="Z36" s="35">
        <v>0.96917808219178081</v>
      </c>
      <c r="AA36" s="35">
        <f t="shared" si="18"/>
        <v>5.821917808219168E-3</v>
      </c>
      <c r="AC36" t="s">
        <v>149</v>
      </c>
      <c r="AD36">
        <v>73</v>
      </c>
      <c r="AI36" t="s">
        <v>12</v>
      </c>
      <c r="AJ36" s="35">
        <f>AJ35+'Version 1 (GI1) on-site'!H24</f>
        <v>0.91176470588235292</v>
      </c>
      <c r="AK36" s="35">
        <f>AK35+'Version 2 (GI2) on-site'!H24</f>
        <v>0.98355263157894735</v>
      </c>
      <c r="AL36" s="35">
        <f t="shared" si="19"/>
        <v>7.1787925696594423E-2</v>
      </c>
      <c r="AN36" t="s">
        <v>159</v>
      </c>
      <c r="AO36">
        <v>76</v>
      </c>
      <c r="AT36" t="s">
        <v>12</v>
      </c>
      <c r="AU36" s="35">
        <v>0.91176470588235292</v>
      </c>
      <c r="AV36" s="35">
        <v>0.97499999999999998</v>
      </c>
      <c r="AW36" s="70">
        <f t="shared" si="20"/>
        <v>6.3235294117647056E-2</v>
      </c>
      <c r="AY36" t="s">
        <v>154</v>
      </c>
      <c r="AZ36">
        <v>80</v>
      </c>
    </row>
    <row r="37" spans="1:55" x14ac:dyDescent="0.25">
      <c r="A37" t="s">
        <v>134</v>
      </c>
      <c r="B37">
        <f>SUM(I9:I10,H8:H10, G7:G9, F6:F8,E7)</f>
        <v>84</v>
      </c>
      <c r="C37" s="11">
        <f t="shared" si="14"/>
        <v>0.28767123287671231</v>
      </c>
      <c r="D37">
        <v>12</v>
      </c>
      <c r="E37" s="9">
        <f t="shared" si="15"/>
        <v>0.1875</v>
      </c>
      <c r="G37" t="s">
        <v>1</v>
      </c>
      <c r="H37">
        <f>I10+H9+G8+F7</f>
        <v>21</v>
      </c>
      <c r="I37" s="14">
        <f t="shared" si="13"/>
        <v>7.1917808219178078E-2</v>
      </c>
      <c r="J37">
        <v>4</v>
      </c>
      <c r="K37" s="9">
        <f t="shared" si="16"/>
        <v>6.25E-2</v>
      </c>
      <c r="M37" t="s">
        <v>22</v>
      </c>
      <c r="N37" s="35">
        <f>'Version 4 (LI)'!B24+'Version 4 (LI)'!C24+'Version 4 (LI)'!D24+'Version 4 (LI)'!E24+'Version 4 (LI)'!F24+'Version 4 (LI)'!G24+'Version 4 (LI)'!H24+'Version 4 (LI)'!I24</f>
        <v>0.99999999999999989</v>
      </c>
      <c r="O37" s="35">
        <f>SUM($B$24:$I$24)</f>
        <v>1</v>
      </c>
      <c r="P37" s="35">
        <f t="shared" si="17"/>
        <v>1.1102230246251565E-16</v>
      </c>
      <c r="X37" t="s">
        <v>22</v>
      </c>
      <c r="Y37" s="35">
        <f>Y36+'Version 3 (GI3) on-site'!I24</f>
        <v>1</v>
      </c>
      <c r="Z37" s="35">
        <v>1</v>
      </c>
      <c r="AA37" s="35">
        <f t="shared" si="18"/>
        <v>0</v>
      </c>
      <c r="AI37" t="s">
        <v>22</v>
      </c>
      <c r="AJ37" s="35">
        <f>AJ36+'Version 1 (GI1) on-site'!I24</f>
        <v>1</v>
      </c>
      <c r="AK37" s="35">
        <f>AK36+'Version 2 (GI2) on-site'!I24</f>
        <v>1</v>
      </c>
      <c r="AL37" s="35">
        <f t="shared" si="19"/>
        <v>0</v>
      </c>
      <c r="AT37" t="s">
        <v>22</v>
      </c>
      <c r="AU37" s="35">
        <v>1</v>
      </c>
      <c r="AV37" s="35">
        <v>1</v>
      </c>
      <c r="AW37" s="70">
        <f t="shared" si="20"/>
        <v>0</v>
      </c>
    </row>
    <row r="38" spans="1:55" x14ac:dyDescent="0.25">
      <c r="A38" t="s">
        <v>135</v>
      </c>
      <c r="B38">
        <f>SUM(E10:I10, E9:I9, E8:I8, E7:I7, F6:I6)</f>
        <v>107</v>
      </c>
      <c r="C38" s="11">
        <f t="shared" si="14"/>
        <v>0.36643835616438358</v>
      </c>
      <c r="D38">
        <v>24</v>
      </c>
      <c r="E38" s="9">
        <f t="shared" si="15"/>
        <v>0.375</v>
      </c>
      <c r="G38" t="s">
        <v>137</v>
      </c>
      <c r="H38">
        <f>SUM(F10:I10, F9:I9, F8:I8, F7:I7)</f>
        <v>47</v>
      </c>
      <c r="I38" s="14">
        <f t="shared" si="13"/>
        <v>0.16095890410958905</v>
      </c>
      <c r="J38">
        <v>16</v>
      </c>
      <c r="K38" s="9">
        <f t="shared" si="16"/>
        <v>0.25</v>
      </c>
      <c r="M38" t="s">
        <v>15</v>
      </c>
      <c r="P38" s="35">
        <f>MAX(P30:P37)</f>
        <v>7.7777777777777724E-2</v>
      </c>
      <c r="X38" t="s">
        <v>15</v>
      </c>
      <c r="AA38" s="35">
        <f>MAX(AA30:AA37)</f>
        <v>0.14160958904109588</v>
      </c>
      <c r="AI38" t="s">
        <v>15</v>
      </c>
      <c r="AL38" s="35">
        <f>MAX(AL30:AL37)</f>
        <v>0.22407120743034048</v>
      </c>
      <c r="AT38" t="s">
        <v>15</v>
      </c>
      <c r="AU38" s="35"/>
      <c r="AV38" s="35"/>
      <c r="AW38" s="70">
        <f>MAX(AW30:AW37)</f>
        <v>0.20680147058823528</v>
      </c>
    </row>
    <row r="39" spans="1:55" x14ac:dyDescent="0.25">
      <c r="A39" t="s">
        <v>136</v>
      </c>
      <c r="B39">
        <f>SUM(B10:I10, C9:I9, D8:I8, E7:I7, F6:I6, G5:I5, H4:I4, I3)</f>
        <v>150</v>
      </c>
      <c r="C39" s="11">
        <f t="shared" si="14"/>
        <v>0.51369863013698636</v>
      </c>
      <c r="D39">
        <v>36</v>
      </c>
      <c r="E39" s="9">
        <f t="shared" si="15"/>
        <v>0.5625</v>
      </c>
      <c r="G39" t="s">
        <v>138</v>
      </c>
      <c r="H39">
        <f>SUM(C10:I10, D9:I9, E8:I8, F7:I7,G6:I6, H5:I5, I4)</f>
        <v>74</v>
      </c>
      <c r="I39" s="14">
        <f t="shared" si="13"/>
        <v>0.25342465753424659</v>
      </c>
      <c r="J39">
        <v>28</v>
      </c>
      <c r="K39" s="9">
        <f t="shared" si="16"/>
        <v>0.4375</v>
      </c>
      <c r="M39" t="s">
        <v>161</v>
      </c>
      <c r="AU39" s="35"/>
      <c r="AV39" s="35"/>
      <c r="AW39" s="70"/>
    </row>
    <row r="40" spans="1:55" x14ac:dyDescent="0.25">
      <c r="C40" s="11"/>
      <c r="E40" s="9"/>
      <c r="I40" s="9"/>
      <c r="K40" s="9"/>
      <c r="M40" t="s">
        <v>93</v>
      </c>
      <c r="N40" s="35">
        <f>'Version 4 (LI)'!J16</f>
        <v>6.9444444444444448E-2</v>
      </c>
      <c r="O40" s="35">
        <f>$J$16</f>
        <v>8.5616438356164379E-2</v>
      </c>
      <c r="P40" s="35">
        <f>ABS(N40-O40)</f>
        <v>1.6171993911719931E-2</v>
      </c>
      <c r="X40" t="s">
        <v>93</v>
      </c>
      <c r="Y40" s="35">
        <f>'Version 3 (GI3) on-site'!J16</f>
        <v>8.1250000000000003E-2</v>
      </c>
      <c r="Z40" s="35">
        <v>8.5616438356164379E-2</v>
      </c>
      <c r="AA40" s="35">
        <f>ABS(Y40-Z40)</f>
        <v>4.366438356164376E-3</v>
      </c>
      <c r="AI40" t="s">
        <v>93</v>
      </c>
      <c r="AJ40" s="35">
        <f>'Version 1 (GI1) on-site'!J16</f>
        <v>0.15441176470588236</v>
      </c>
      <c r="AK40" s="35">
        <f>'Version 2 (GI2) on-site'!J16</f>
        <v>5.5921052631578941E-2</v>
      </c>
      <c r="AL40" s="35">
        <f>ABS(AJ40-AK40)</f>
        <v>9.8490712074303419E-2</v>
      </c>
      <c r="AT40" t="s">
        <v>93</v>
      </c>
      <c r="AU40" s="35">
        <v>0.15441176470588236</v>
      </c>
      <c r="AV40" s="35">
        <v>8.1250000000000003E-2</v>
      </c>
      <c r="AW40" s="70">
        <f>ABS(AU40-AV40)</f>
        <v>7.3161764705882357E-2</v>
      </c>
    </row>
    <row r="41" spans="1:55" x14ac:dyDescent="0.25">
      <c r="A41" t="s">
        <v>124</v>
      </c>
      <c r="B41">
        <f>B29-B35</f>
        <v>223</v>
      </c>
      <c r="C41" s="11">
        <v>1</v>
      </c>
      <c r="D41">
        <v>60</v>
      </c>
      <c r="E41" s="9">
        <v>1</v>
      </c>
      <c r="G41" t="s">
        <v>125</v>
      </c>
      <c r="H41">
        <f>H29-H35</f>
        <v>251</v>
      </c>
      <c r="I41" s="9">
        <v>1</v>
      </c>
      <c r="J41">
        <v>62</v>
      </c>
      <c r="K41" s="9">
        <v>1</v>
      </c>
      <c r="M41" t="s">
        <v>16</v>
      </c>
      <c r="N41" s="35">
        <f>'Version 4 (LI)'!J17+N40</f>
        <v>0.10833333333333334</v>
      </c>
      <c r="O41" s="35">
        <f>SUM($J$16:$J$17)</f>
        <v>0.1404109589041096</v>
      </c>
      <c r="P41" s="35">
        <f t="shared" ref="P41:P47" si="21">ABS(N41-O41)</f>
        <v>3.2077625570776258E-2</v>
      </c>
      <c r="X41" t="s">
        <v>16</v>
      </c>
      <c r="Y41" s="35">
        <f>'Version 3 (GI3) on-site'!J17+Y40</f>
        <v>0.15625</v>
      </c>
      <c r="Z41" s="35">
        <v>0.1404109589041096</v>
      </c>
      <c r="AA41" s="35">
        <f t="shared" ref="AA41:AA47" si="22">ABS(Y41-Z41)</f>
        <v>1.5839041095890405E-2</v>
      </c>
      <c r="AI41" t="s">
        <v>16</v>
      </c>
      <c r="AJ41" s="35">
        <f>'Version 1 (GI1) on-site'!J17+AJ40</f>
        <v>0.29044117647058826</v>
      </c>
      <c r="AK41" s="35">
        <f>'Version 2 (GI2) on-site'!J17+AK40</f>
        <v>0.10855263157894735</v>
      </c>
      <c r="AL41" s="35">
        <f t="shared" ref="AL41:AL47" si="23">ABS(AJ41-AK41)</f>
        <v>0.18188854489164091</v>
      </c>
      <c r="AT41" t="s">
        <v>16</v>
      </c>
      <c r="AU41" s="35">
        <v>0.29044117647058826</v>
      </c>
      <c r="AV41" s="35">
        <v>0.15625</v>
      </c>
      <c r="AW41" s="70">
        <f t="shared" ref="AW41:AW47" si="24">ABS(AU41-AV41)</f>
        <v>0.13419117647058826</v>
      </c>
    </row>
    <row r="42" spans="1:55" x14ac:dyDescent="0.25">
      <c r="A42" t="s">
        <v>80</v>
      </c>
      <c r="B42">
        <f>B34-B35</f>
        <v>93</v>
      </c>
      <c r="C42" s="11">
        <f>B42/B$41</f>
        <v>0.4170403587443946</v>
      </c>
      <c r="D42">
        <v>18</v>
      </c>
      <c r="E42" s="9">
        <f>D42/D$41</f>
        <v>0.3</v>
      </c>
      <c r="G42" t="s">
        <v>122</v>
      </c>
      <c r="H42">
        <f>H34-E7-F6</f>
        <v>63</v>
      </c>
      <c r="I42" s="9">
        <f>H42/$H$41</f>
        <v>0.25099601593625498</v>
      </c>
      <c r="J42">
        <v>6</v>
      </c>
      <c r="K42" s="9">
        <f>J42/J$41</f>
        <v>9.6774193548387094E-2</v>
      </c>
      <c r="M42" t="s">
        <v>17</v>
      </c>
      <c r="N42" s="35">
        <f>'Version 4 (LI)'!J18+N41</f>
        <v>0.30555555555555558</v>
      </c>
      <c r="O42" s="35">
        <f>SUM($J$16:$J$18)</f>
        <v>0.39383561643835618</v>
      </c>
      <c r="P42" s="35">
        <f t="shared" si="21"/>
        <v>8.8280060882800604E-2</v>
      </c>
      <c r="X42" t="s">
        <v>17</v>
      </c>
      <c r="Y42" s="35">
        <f>'Version 3 (GI3) on-site'!J18+Y41</f>
        <v>0.28749999999999998</v>
      </c>
      <c r="Z42" s="35">
        <v>0.39383561643835618</v>
      </c>
      <c r="AA42" s="35">
        <f t="shared" si="22"/>
        <v>0.10633561643835621</v>
      </c>
      <c r="AI42" t="s">
        <v>17</v>
      </c>
      <c r="AJ42" s="35">
        <f>'Version 1 (GI1) on-site'!J18+AJ41</f>
        <v>0.42279411764705882</v>
      </c>
      <c r="AK42" s="35">
        <f>'Version 2 (GI2) on-site'!J18+AK41</f>
        <v>0.23355263157894735</v>
      </c>
      <c r="AL42" s="35">
        <f t="shared" si="23"/>
        <v>0.18924148606811148</v>
      </c>
      <c r="AT42" t="s">
        <v>17</v>
      </c>
      <c r="AU42" s="35">
        <v>0.42279411764705882</v>
      </c>
      <c r="AV42" s="35">
        <v>0.28749999999999998</v>
      </c>
      <c r="AW42" s="70">
        <f t="shared" si="24"/>
        <v>0.13529411764705884</v>
      </c>
    </row>
    <row r="43" spans="1:55" x14ac:dyDescent="0.25">
      <c r="C43" s="10"/>
      <c r="E43" s="9"/>
      <c r="M43" t="s">
        <v>18</v>
      </c>
      <c r="N43" s="35">
        <f>'Version 4 (LI)'!J19+N42</f>
        <v>0.51944444444444449</v>
      </c>
      <c r="O43" s="35">
        <f>SUM($J$16:$J$19)</f>
        <v>0.5547945205479452</v>
      </c>
      <c r="P43" s="35">
        <f t="shared" si="21"/>
        <v>3.5350076103500716E-2</v>
      </c>
      <c r="X43" t="s">
        <v>18</v>
      </c>
      <c r="Y43" s="35">
        <f>'Version 3 (GI3) on-site'!J19+Y42</f>
        <v>0.47499999999999998</v>
      </c>
      <c r="Z43" s="35">
        <v>0.5547945205479452</v>
      </c>
      <c r="AA43" s="35">
        <f t="shared" si="22"/>
        <v>7.9794520547945225E-2</v>
      </c>
      <c r="AI43" t="s">
        <v>18</v>
      </c>
      <c r="AJ43" s="35">
        <f>'Version 1 (GI1) on-site'!J19+AJ42</f>
        <v>0.65073529411764708</v>
      </c>
      <c r="AK43" s="35">
        <f>'Version 2 (GI2) on-site'!J19+AK42</f>
        <v>0.45065789473684215</v>
      </c>
      <c r="AL43" s="35">
        <f t="shared" si="23"/>
        <v>0.20007739938080493</v>
      </c>
      <c r="AT43" t="s">
        <v>18</v>
      </c>
      <c r="AU43" s="35">
        <v>0.65073529411764708</v>
      </c>
      <c r="AV43" s="35">
        <v>0.47499999999999998</v>
      </c>
      <c r="AW43" s="70">
        <f t="shared" si="24"/>
        <v>0.1757352941176471</v>
      </c>
    </row>
    <row r="44" spans="1:55" x14ac:dyDescent="0.25">
      <c r="A44" t="s">
        <v>81</v>
      </c>
      <c r="B44">
        <f>B29-B34</f>
        <v>130</v>
      </c>
      <c r="C44" s="10">
        <f t="shared" ref="C44:C52" si="25">B44/B$44</f>
        <v>1</v>
      </c>
      <c r="D44">
        <v>42</v>
      </c>
      <c r="E44" s="9">
        <f t="shared" ref="E44:E52" si="26">D44/D$44</f>
        <v>1</v>
      </c>
      <c r="G44" t="s">
        <v>129</v>
      </c>
      <c r="H44">
        <f>H29-H34</f>
        <v>188</v>
      </c>
      <c r="I44" s="32">
        <f>H44/H$44</f>
        <v>1</v>
      </c>
      <c r="J44">
        <f>J29-J34</f>
        <v>54</v>
      </c>
      <c r="K44" s="9">
        <f t="shared" ref="K44:K52" si="27">J44/J$44</f>
        <v>1</v>
      </c>
      <c r="M44" t="s">
        <v>19</v>
      </c>
      <c r="N44" s="35">
        <f>'Version 4 (LI)'!J20+N43</f>
        <v>0.81111111111111112</v>
      </c>
      <c r="O44" s="35">
        <f>SUM($J$16:$J$20)</f>
        <v>0.81164383561643838</v>
      </c>
      <c r="P44" s="35">
        <f t="shared" si="21"/>
        <v>5.3272450532726445E-4</v>
      </c>
      <c r="X44" t="s">
        <v>19</v>
      </c>
      <c r="Y44" s="35">
        <f>'Version 3 (GI3) on-site'!J20+Y43</f>
        <v>0.77499999999999991</v>
      </c>
      <c r="Z44" s="35">
        <v>0.81164383561643838</v>
      </c>
      <c r="AA44" s="35">
        <f t="shared" si="22"/>
        <v>3.6643835616438469E-2</v>
      </c>
      <c r="AI44" t="s">
        <v>19</v>
      </c>
      <c r="AJ44" s="35">
        <f>'Version 1 (GI1) on-site'!J20+AJ43</f>
        <v>0.86764705882352944</v>
      </c>
      <c r="AK44" s="35">
        <f>'Version 2 (GI2) on-site'!J20+AK43</f>
        <v>0.76973684210526327</v>
      </c>
      <c r="AL44" s="35">
        <f t="shared" si="23"/>
        <v>9.7910216718266163E-2</v>
      </c>
      <c r="AT44" t="s">
        <v>19</v>
      </c>
      <c r="AU44" s="35">
        <v>0.86764705882352944</v>
      </c>
      <c r="AV44" s="35">
        <v>0.77499999999999991</v>
      </c>
      <c r="AW44" s="70">
        <f t="shared" si="24"/>
        <v>9.2647058823529527E-2</v>
      </c>
    </row>
    <row r="45" spans="1:55" x14ac:dyDescent="0.25">
      <c r="A45" t="s">
        <v>82</v>
      </c>
      <c r="B45">
        <f>B30</f>
        <v>3</v>
      </c>
      <c r="C45" s="11">
        <f t="shared" si="25"/>
        <v>2.3076923076923078E-2</v>
      </c>
      <c r="D45">
        <v>3</v>
      </c>
      <c r="E45" s="9">
        <f t="shared" si="26"/>
        <v>7.1428571428571425E-2</v>
      </c>
      <c r="G45" t="s">
        <v>130</v>
      </c>
      <c r="H45">
        <f>H30</f>
        <v>0</v>
      </c>
      <c r="I45" s="32">
        <f>H45/H$44</f>
        <v>0</v>
      </c>
      <c r="J45">
        <v>1</v>
      </c>
      <c r="K45" s="9">
        <f t="shared" si="27"/>
        <v>1.8518518518518517E-2</v>
      </c>
      <c r="M45" t="s">
        <v>20</v>
      </c>
      <c r="N45" s="35">
        <f>'Version 4 (LI)'!J21+N44</f>
        <v>0.90555555555555556</v>
      </c>
      <c r="O45" s="35">
        <f>SUM($J$16:$J$21)</f>
        <v>0.93493150684931514</v>
      </c>
      <c r="P45" s="35">
        <f t="shared" si="21"/>
        <v>2.9375951293759583E-2</v>
      </c>
      <c r="X45" t="s">
        <v>20</v>
      </c>
      <c r="Y45" s="35">
        <f>'Version 3 (GI3) on-site'!J21+Y44</f>
        <v>0.92187499999999989</v>
      </c>
      <c r="Z45" s="35">
        <v>0.93493150684931514</v>
      </c>
      <c r="AA45" s="35">
        <f t="shared" si="22"/>
        <v>1.3056506849315253E-2</v>
      </c>
      <c r="AI45" t="s">
        <v>20</v>
      </c>
      <c r="AJ45" s="35">
        <f>'Version 1 (GI1) on-site'!J21+AJ44</f>
        <v>0.9595588235294118</v>
      </c>
      <c r="AK45" s="35">
        <f>'Version 2 (GI2) on-site'!J21+AK44</f>
        <v>0.90460526315789491</v>
      </c>
      <c r="AL45" s="35">
        <f t="shared" si="23"/>
        <v>5.4953560371516885E-2</v>
      </c>
      <c r="AT45" t="s">
        <v>20</v>
      </c>
      <c r="AU45" s="35">
        <v>0.9595588235294118</v>
      </c>
      <c r="AV45" s="35">
        <v>0.92187499999999989</v>
      </c>
      <c r="AW45" s="70">
        <f t="shared" si="24"/>
        <v>3.7683823529411908E-2</v>
      </c>
    </row>
    <row r="46" spans="1:55" x14ac:dyDescent="0.25">
      <c r="A46" t="s">
        <v>77</v>
      </c>
      <c r="B46">
        <f>B31-(SUM(E6:E7,F6))</f>
        <v>54</v>
      </c>
      <c r="C46" s="11">
        <f t="shared" si="25"/>
        <v>0.41538461538461541</v>
      </c>
      <c r="D46">
        <v>9</v>
      </c>
      <c r="E46" s="9">
        <f t="shared" si="26"/>
        <v>0.21428571428571427</v>
      </c>
      <c r="G46" t="s">
        <v>131</v>
      </c>
      <c r="H46">
        <f>H31</f>
        <v>40</v>
      </c>
      <c r="I46" s="32">
        <f>H46/H$44</f>
        <v>0.21276595744680851</v>
      </c>
      <c r="J46">
        <v>4</v>
      </c>
      <c r="K46" s="9">
        <f t="shared" si="27"/>
        <v>7.407407407407407E-2</v>
      </c>
      <c r="M46" t="s">
        <v>21</v>
      </c>
      <c r="N46" s="35">
        <f>'Version 4 (LI)'!J22+N45</f>
        <v>0.98333333333333339</v>
      </c>
      <c r="O46" s="35">
        <f>SUM($J$16:$J$22)</f>
        <v>0.98287671232876717</v>
      </c>
      <c r="P46" s="35">
        <f t="shared" si="21"/>
        <v>4.5662100456622667E-4</v>
      </c>
      <c r="X46" t="s">
        <v>21</v>
      </c>
      <c r="Y46" s="35">
        <f>'Version 3 (GI3) on-site'!J22+Y45</f>
        <v>0.97812499999999991</v>
      </c>
      <c r="Z46" s="35">
        <v>0.98287671232876717</v>
      </c>
      <c r="AA46" s="35">
        <f t="shared" si="22"/>
        <v>4.7517123287672547E-3</v>
      </c>
      <c r="AI46" t="s">
        <v>21</v>
      </c>
      <c r="AJ46" s="35">
        <f>'Version 1 (GI1) on-site'!J22+AJ45</f>
        <v>0.98161764705882359</v>
      </c>
      <c r="AK46" s="35">
        <f>'Version 2 (GI2) on-site'!J22+AK45</f>
        <v>0.97697368421052655</v>
      </c>
      <c r="AL46" s="35">
        <f t="shared" si="23"/>
        <v>4.6439628482970452E-3</v>
      </c>
      <c r="AT46" t="s">
        <v>21</v>
      </c>
      <c r="AU46" s="35">
        <v>0.98161764705882359</v>
      </c>
      <c r="AV46" s="35">
        <v>0.97812499999999991</v>
      </c>
      <c r="AW46" s="70">
        <f t="shared" si="24"/>
        <v>3.4926470588236835E-3</v>
      </c>
    </row>
    <row r="47" spans="1:55" x14ac:dyDescent="0.25">
      <c r="A47" t="s">
        <v>78</v>
      </c>
      <c r="B47">
        <f>$B$32-SUM($D$7, $E$6:E$7, $F$5:$F$6)</f>
        <v>83</v>
      </c>
      <c r="C47" s="11">
        <f t="shared" si="25"/>
        <v>0.63846153846153841</v>
      </c>
      <c r="D47">
        <v>19</v>
      </c>
      <c r="E47" s="9">
        <f t="shared" si="26"/>
        <v>0.45238095238095238</v>
      </c>
      <c r="G47" t="s">
        <v>132</v>
      </c>
      <c r="H47">
        <f>H32</f>
        <v>91</v>
      </c>
      <c r="I47" s="32">
        <f t="shared" ref="I47:I52" si="28">H47/H$44</f>
        <v>0.48404255319148937</v>
      </c>
      <c r="J47">
        <v>16</v>
      </c>
      <c r="K47" s="9">
        <f t="shared" si="27"/>
        <v>0.29629629629629628</v>
      </c>
      <c r="M47" t="s">
        <v>23</v>
      </c>
      <c r="N47" s="35">
        <f>'Version 4 (LI)'!J23+N46</f>
        <v>1</v>
      </c>
      <c r="O47" s="35">
        <f>SUM($J$16:$J$23)</f>
        <v>1</v>
      </c>
      <c r="P47" s="35">
        <f t="shared" si="21"/>
        <v>0</v>
      </c>
      <c r="X47" t="s">
        <v>23</v>
      </c>
      <c r="Y47" s="35">
        <f>'Version 3 (GI3) on-site'!J23+Y46</f>
        <v>0.99999999999999989</v>
      </c>
      <c r="Z47" s="35">
        <v>1</v>
      </c>
      <c r="AA47" s="35">
        <f t="shared" si="22"/>
        <v>1.1102230246251565E-16</v>
      </c>
      <c r="AI47" t="s">
        <v>23</v>
      </c>
      <c r="AJ47" s="35">
        <f>'Version 1 (GI1) on-site'!J23+AJ46</f>
        <v>1</v>
      </c>
      <c r="AK47" s="35">
        <f>'Version 2 (GI2) on-site'!J23+AK46</f>
        <v>1.0000000000000002</v>
      </c>
      <c r="AL47" s="35">
        <f t="shared" si="23"/>
        <v>2.2204460492503131E-16</v>
      </c>
      <c r="AT47" t="s">
        <v>23</v>
      </c>
      <c r="AU47" s="35">
        <v>1</v>
      </c>
      <c r="AV47" s="35">
        <v>0.99999999999999989</v>
      </c>
      <c r="AW47" s="70">
        <f t="shared" si="24"/>
        <v>1.1102230246251565E-16</v>
      </c>
    </row>
    <row r="48" spans="1:55" x14ac:dyDescent="0.25">
      <c r="A48" t="s">
        <v>79</v>
      </c>
      <c r="B48">
        <f>B$33-SUM(B$9:B$10, C$8:C$9, D$7:D$8, E$6:E$7, F$5:F$6, G$4:G$5, H$3:H$4, I$3)</f>
        <v>86</v>
      </c>
      <c r="C48" s="11">
        <f t="shared" si="25"/>
        <v>0.66153846153846152</v>
      </c>
      <c r="D48">
        <v>21</v>
      </c>
      <c r="E48" s="9">
        <f t="shared" si="26"/>
        <v>0.5</v>
      </c>
      <c r="G48" t="s">
        <v>133</v>
      </c>
      <c r="H48">
        <f>H33</f>
        <v>142</v>
      </c>
      <c r="I48" s="32">
        <f t="shared" si="28"/>
        <v>0.75531914893617025</v>
      </c>
      <c r="J48">
        <v>28</v>
      </c>
      <c r="K48" s="9">
        <f t="shared" si="27"/>
        <v>0.51851851851851849</v>
      </c>
      <c r="M48" t="s">
        <v>15</v>
      </c>
      <c r="P48" s="35">
        <f>MAX(P40:P47)</f>
        <v>8.8280060882800604E-2</v>
      </c>
      <c r="X48" t="s">
        <v>15</v>
      </c>
      <c r="AA48" s="35">
        <f>MAX(AA40:AA47)</f>
        <v>0.10633561643835621</v>
      </c>
      <c r="AI48" t="s">
        <v>15</v>
      </c>
      <c r="AL48" s="35">
        <f>MAX(AL40:AL47)</f>
        <v>0.20007739938080493</v>
      </c>
      <c r="AT48" t="s">
        <v>15</v>
      </c>
      <c r="AU48" s="35"/>
      <c r="AV48" s="35"/>
      <c r="AW48" s="70">
        <f>MAX(AW40:AW47)</f>
        <v>0.1757352941176471</v>
      </c>
    </row>
    <row r="49" spans="1:49" x14ac:dyDescent="0.25">
      <c r="A49" t="s">
        <v>201</v>
      </c>
      <c r="B49">
        <f>B36</f>
        <v>2</v>
      </c>
      <c r="C49" s="11">
        <f t="shared" si="25"/>
        <v>1.5384615384615385E-2</v>
      </c>
      <c r="D49">
        <v>3</v>
      </c>
      <c r="E49" s="9">
        <f t="shared" si="26"/>
        <v>7.1428571428571425E-2</v>
      </c>
      <c r="G49" t="s">
        <v>199</v>
      </c>
      <c r="H49">
        <v>0</v>
      </c>
      <c r="I49" s="32">
        <f t="shared" si="28"/>
        <v>0</v>
      </c>
      <c r="J49">
        <v>1</v>
      </c>
      <c r="K49" s="9">
        <f t="shared" si="27"/>
        <v>1.8518518518518517E-2</v>
      </c>
      <c r="M49" t="s">
        <v>162</v>
      </c>
      <c r="AU49" s="35"/>
      <c r="AV49" s="35"/>
      <c r="AW49" s="70"/>
    </row>
    <row r="50" spans="1:49" x14ac:dyDescent="0.25">
      <c r="A50" t="s">
        <v>139</v>
      </c>
      <c r="B50">
        <f>B37-SUM(F6:F7,E7)</f>
        <v>35</v>
      </c>
      <c r="C50" s="11">
        <f t="shared" si="25"/>
        <v>0.26923076923076922</v>
      </c>
      <c r="D50">
        <v>9</v>
      </c>
      <c r="E50" s="9">
        <f t="shared" si="26"/>
        <v>0.21428571428571427</v>
      </c>
      <c r="G50" t="s">
        <v>0</v>
      </c>
      <c r="H50">
        <f>I10+H9+G8+F7</f>
        <v>21</v>
      </c>
      <c r="I50" s="32">
        <f t="shared" si="28"/>
        <v>0.11170212765957446</v>
      </c>
      <c r="J50">
        <v>4</v>
      </c>
      <c r="K50" s="9">
        <f t="shared" si="27"/>
        <v>7.407407407407407E-2</v>
      </c>
      <c r="M50" t="s">
        <v>24</v>
      </c>
      <c r="N50" s="35">
        <f>'Version 4 (LI)'!B16</f>
        <v>0</v>
      </c>
      <c r="O50" s="35">
        <f>$B$16</f>
        <v>0</v>
      </c>
      <c r="P50" s="35">
        <f>ABS(N50-O50)</f>
        <v>0</v>
      </c>
      <c r="X50" t="s">
        <v>24</v>
      </c>
      <c r="Y50" s="35">
        <f>'Version 3 (GI3) on-site'!B16</f>
        <v>3.1250000000000002E-3</v>
      </c>
      <c r="Z50" s="35">
        <v>0</v>
      </c>
      <c r="AA50" s="35">
        <f>ABS(Y50-Z50)</f>
        <v>3.1250000000000002E-3</v>
      </c>
      <c r="AI50" t="s">
        <v>24</v>
      </c>
      <c r="AJ50" s="35">
        <f>'Version 1 (GI1) on-site'!B16</f>
        <v>3.6764705882352941E-3</v>
      </c>
      <c r="AK50" s="35">
        <f>'Version 2 (GI2) on-site'!B16</f>
        <v>3.2894736842105261E-3</v>
      </c>
      <c r="AL50" s="35">
        <f>ABS(AJ50-AK50)</f>
        <v>3.8699690402476793E-4</v>
      </c>
      <c r="AT50" t="s">
        <v>24</v>
      </c>
      <c r="AU50" s="35">
        <v>3.6764705882352941E-3</v>
      </c>
      <c r="AV50" s="35">
        <v>3.1250000000000002E-3</v>
      </c>
      <c r="AW50" s="70">
        <f>ABS(AU50-AV50)</f>
        <v>5.5147058823529389E-4</v>
      </c>
    </row>
    <row r="51" spans="1:49" x14ac:dyDescent="0.25">
      <c r="A51" t="s">
        <v>140</v>
      </c>
      <c r="B51">
        <f>SUM(E10:I10, E9:I9, F8:I8, G7:I7, H6:I6)</f>
        <v>44</v>
      </c>
      <c r="C51" s="11">
        <f t="shared" si="25"/>
        <v>0.33846153846153848</v>
      </c>
      <c r="D51">
        <v>19</v>
      </c>
      <c r="E51" s="9">
        <f t="shared" si="26"/>
        <v>0.45238095238095238</v>
      </c>
      <c r="G51" t="s">
        <v>143</v>
      </c>
      <c r="H51">
        <f>SUM(F7:I10)</f>
        <v>47</v>
      </c>
      <c r="I51" s="32">
        <f t="shared" si="28"/>
        <v>0.25</v>
      </c>
      <c r="J51">
        <v>16</v>
      </c>
      <c r="K51" s="9">
        <f t="shared" si="27"/>
        <v>0.29629629629629628</v>
      </c>
      <c r="M51" t="s">
        <v>25</v>
      </c>
      <c r="N51" s="35">
        <f>N50+'Version 4 (LI)'!B17+'Version 4 (LI)'!C16</f>
        <v>5.5555555555555558E-3</v>
      </c>
      <c r="O51" s="35">
        <f>O50+B17+C16</f>
        <v>1.0273972602739725E-2</v>
      </c>
      <c r="P51" s="35">
        <f t="shared" ref="P51:P64" si="29">ABS(N51-O51)</f>
        <v>4.7184170471841697E-3</v>
      </c>
      <c r="X51" t="s">
        <v>25</v>
      </c>
      <c r="Y51" s="35">
        <f>Y50+'Version 3 (GI3) on-site'!B17+'Version 3 (GI3) on-site'!C16</f>
        <v>1.2500000000000001E-2</v>
      </c>
      <c r="Z51" s="35">
        <v>1.0273972602739725E-2</v>
      </c>
      <c r="AA51" s="35">
        <f t="shared" ref="AA51:AA64" si="30">ABS(Y51-Z51)</f>
        <v>2.2260273972602752E-3</v>
      </c>
      <c r="AI51" t="s">
        <v>25</v>
      </c>
      <c r="AJ51" s="35">
        <f>AJ50+'Version 1 (GI1) on-site'!B17+'Version 1 (GI1) on-site'!C16</f>
        <v>7.3529411764705881E-3</v>
      </c>
      <c r="AK51" s="35">
        <f>AK50+'Version 2 (GI2) on-site'!B17+'Version 2 (GI2) on-site'!C16</f>
        <v>1.3157894736842105E-2</v>
      </c>
      <c r="AL51" s="35">
        <f t="shared" ref="AL51:AL64" si="31">ABS(AJ51-AK51)</f>
        <v>5.8049535603715164E-3</v>
      </c>
      <c r="AT51" t="s">
        <v>25</v>
      </c>
      <c r="AU51" s="35">
        <v>7.3529411764705881E-3</v>
      </c>
      <c r="AV51" s="35">
        <v>1.2500000000000001E-2</v>
      </c>
      <c r="AW51" s="70">
        <f t="shared" ref="AW51:AW64" si="32">ABS(AU51-AV51)</f>
        <v>5.1470588235294126E-3</v>
      </c>
    </row>
    <row r="52" spans="1:49" x14ac:dyDescent="0.25">
      <c r="A52" t="s">
        <v>141</v>
      </c>
      <c r="B52">
        <f>SUM(D10:I10, E9:I9, F8:I8, G7:I7, H6:I6, I5)</f>
        <v>44</v>
      </c>
      <c r="C52" s="11">
        <f t="shared" si="25"/>
        <v>0.33846153846153848</v>
      </c>
      <c r="D52">
        <v>21</v>
      </c>
      <c r="E52" s="9">
        <f t="shared" si="26"/>
        <v>0.5</v>
      </c>
      <c r="G52" t="s">
        <v>144</v>
      </c>
      <c r="H52">
        <f>H39</f>
        <v>74</v>
      </c>
      <c r="I52" s="32">
        <f t="shared" si="28"/>
        <v>0.39361702127659576</v>
      </c>
      <c r="J52">
        <v>28</v>
      </c>
      <c r="K52" s="9">
        <f t="shared" si="27"/>
        <v>0.51851851851851849</v>
      </c>
      <c r="M52" t="s">
        <v>26</v>
      </c>
      <c r="N52" s="35">
        <f>N51+'Version 4 (LI)'!B18+'Version 4 (LI)'!C17+'Version 4 (LI)'!D16</f>
        <v>2.7777777777777776E-2</v>
      </c>
      <c r="O52" s="35">
        <f>O51+B18+C17+D16</f>
        <v>4.1095890410958902E-2</v>
      </c>
      <c r="P52" s="35">
        <f t="shared" si="29"/>
        <v>1.3318112633181126E-2</v>
      </c>
      <c r="X52" t="s">
        <v>26</v>
      </c>
      <c r="Y52" s="35">
        <f>Y51+'Version 3 (GI3) on-site'!B18+'Version 3 (GI3) on-site'!C17+'Version 3 (GI3) on-site'!D16</f>
        <v>2.5000000000000001E-2</v>
      </c>
      <c r="Z52" s="35">
        <v>4.1095890410958902E-2</v>
      </c>
      <c r="AA52" s="35">
        <f t="shared" si="30"/>
        <v>1.60958904109589E-2</v>
      </c>
      <c r="AI52" t="s">
        <v>26</v>
      </c>
      <c r="AJ52" s="35">
        <f>AJ51+'Version 1 (GI1) on-site'!B18+'Version 1 (GI1) on-site'!C17+'Version 1 (GI1) on-site'!D16</f>
        <v>4.779411764705882E-2</v>
      </c>
      <c r="AK52" s="35">
        <f>AK51+'Version 2 (GI2) on-site'!B18+'Version 2 (GI2) on-site'!C17+'Version 2 (GI2) on-site'!D16</f>
        <v>1.9736842105263157E-2</v>
      </c>
      <c r="AL52" s="35">
        <f t="shared" si="31"/>
        <v>2.8057275541795663E-2</v>
      </c>
      <c r="AT52" t="s">
        <v>26</v>
      </c>
      <c r="AU52" s="35">
        <v>4.779411764705882E-2</v>
      </c>
      <c r="AV52" s="35">
        <v>2.5000000000000001E-2</v>
      </c>
      <c r="AW52" s="70">
        <f t="shared" si="32"/>
        <v>2.2794117647058819E-2</v>
      </c>
    </row>
    <row r="53" spans="1:49" x14ac:dyDescent="0.25">
      <c r="M53" t="s">
        <v>27</v>
      </c>
      <c r="N53" s="35">
        <f>N52+'Version 4 (LI)'!B19+'Version 4 (LI)'!C18+'Version 4 (LI)'!D17+'Version 4 (LI)'!E16</f>
        <v>4.7222222222222221E-2</v>
      </c>
      <c r="O53" s="35">
        <f>O52+B19+C18+D17+E16</f>
        <v>6.8493150684931503E-2</v>
      </c>
      <c r="P53" s="35">
        <f t="shared" si="29"/>
        <v>2.1270928462709282E-2</v>
      </c>
      <c r="X53" t="s">
        <v>27</v>
      </c>
      <c r="Y53" s="35">
        <f>Y52+'Version 3 (GI3) on-site'!B19+'Version 3 (GI3) on-site'!C18+'Version 3 (GI3) on-site'!D17+'Version 3 (GI3) on-site'!E16</f>
        <v>6.5624999999999989E-2</v>
      </c>
      <c r="Z53" s="35">
        <v>6.8493150684931503E-2</v>
      </c>
      <c r="AA53" s="35">
        <f t="shared" si="30"/>
        <v>2.8681506849315141E-3</v>
      </c>
      <c r="AI53" t="s">
        <v>27</v>
      </c>
      <c r="AJ53" s="35">
        <f>AJ52+'Version 1 (GI1) on-site'!B19+'Version 1 (GI1) on-site'!C18+'Version 1 (GI1) on-site'!D17+'Version 1 (GI1) on-site'!E16</f>
        <v>0.11029411764705882</v>
      </c>
      <c r="AK53" s="35">
        <f>AK52+'Version 2 (GI2) on-site'!B19+'Version 2 (GI2) on-site'!C18+'Version 2 (GI2) on-site'!D17+'Version 2 (GI2) on-site'!E16</f>
        <v>5.5921052631578941E-2</v>
      </c>
      <c r="AL53" s="35">
        <f t="shared" si="31"/>
        <v>5.4373065015479879E-2</v>
      </c>
      <c r="AT53" t="s">
        <v>27</v>
      </c>
      <c r="AU53" s="35">
        <v>0.11029411764705882</v>
      </c>
      <c r="AV53" s="35">
        <v>6.5624999999999989E-2</v>
      </c>
      <c r="AW53" s="70">
        <f t="shared" si="32"/>
        <v>4.4669117647058831E-2</v>
      </c>
    </row>
    <row r="54" spans="1:49" x14ac:dyDescent="0.25">
      <c r="A54" t="s">
        <v>196</v>
      </c>
      <c r="B54">
        <f>B29</f>
        <v>292</v>
      </c>
      <c r="C54" s="11">
        <v>1</v>
      </c>
      <c r="D54">
        <v>64</v>
      </c>
      <c r="E54">
        <v>100</v>
      </c>
      <c r="G54" t="s">
        <v>197</v>
      </c>
      <c r="H54">
        <v>292</v>
      </c>
      <c r="I54" s="11">
        <v>1</v>
      </c>
      <c r="J54">
        <v>64</v>
      </c>
      <c r="K54" s="11">
        <v>1</v>
      </c>
      <c r="M54" t="s">
        <v>28</v>
      </c>
      <c r="N54" s="35">
        <f>N53+'Version 4 (LI)'!B20+'Version 4 (LI)'!C19+'Version 4 (LI)'!D18+'Version 4 (LI)'!E17+'Version 4 (LI)'!F16</f>
        <v>8.6111111111111097E-2</v>
      </c>
      <c r="O54" s="35">
        <f>O53+B20+C19+D18+E17+F16</f>
        <v>0.16438356164383561</v>
      </c>
      <c r="P54" s="35">
        <f t="shared" si="29"/>
        <v>7.8272450532724511E-2</v>
      </c>
      <c r="X54" t="s">
        <v>28</v>
      </c>
      <c r="Y54" s="35">
        <f>Y53+'Version 3 (GI3) on-site'!B20+'Version 3 (GI3) on-site'!C19+'Version 3 (GI3) on-site'!D18+'Version 3 (GI3) on-site'!E17+'Version 3 (GI3) on-site'!F16</f>
        <v>0.15937499999999999</v>
      </c>
      <c r="Z54" s="35">
        <v>0.16438356164383561</v>
      </c>
      <c r="AA54" s="35">
        <f t="shared" si="30"/>
        <v>5.0085616438356184E-3</v>
      </c>
      <c r="AI54" t="s">
        <v>28</v>
      </c>
      <c r="AJ54" s="35">
        <f>AJ53+'Version 1 (GI1) on-site'!B20+'Version 1 (GI1) on-site'!C19+'Version 1 (GI1) on-site'!D18+'Version 1 (GI1) on-site'!E17+'Version 1 (GI1) on-site'!F16</f>
        <v>0.18014705882352941</v>
      </c>
      <c r="AK54" s="35">
        <f>AK53+'Version 2 (GI2) on-site'!B20+'Version 2 (GI2) on-site'!C19+'Version 2 (GI2) on-site'!D18+'Version 2 (GI2) on-site'!E17+'Version 2 (GI2) on-site'!F16</f>
        <v>9.5394736842105254E-2</v>
      </c>
      <c r="AL54" s="35">
        <f t="shared" si="31"/>
        <v>8.4752321981424156E-2</v>
      </c>
      <c r="AT54" t="s">
        <v>28</v>
      </c>
      <c r="AU54" s="35">
        <v>0.18014705882352941</v>
      </c>
      <c r="AV54" s="35">
        <v>0.15937499999999999</v>
      </c>
      <c r="AW54" s="70">
        <f t="shared" si="32"/>
        <v>2.0772058823529421E-2</v>
      </c>
    </row>
    <row r="55" spans="1:49" x14ac:dyDescent="0.25">
      <c r="A55" t="s">
        <v>142</v>
      </c>
      <c r="B55">
        <f>B46</f>
        <v>54</v>
      </c>
      <c r="C55" s="11">
        <f>B55/B$54</f>
        <v>0.18493150684931506</v>
      </c>
      <c r="D55">
        <f>D46</f>
        <v>9</v>
      </c>
      <c r="E55" s="9">
        <f>D55/D$54</f>
        <v>0.140625</v>
      </c>
      <c r="G55" t="s">
        <v>131</v>
      </c>
      <c r="H55">
        <f>H46</f>
        <v>40</v>
      </c>
      <c r="I55" s="32">
        <f>H55/H$54</f>
        <v>0.13698630136986301</v>
      </c>
      <c r="J55">
        <f>J46</f>
        <v>4</v>
      </c>
      <c r="K55" s="9">
        <f>J55/J$54</f>
        <v>6.25E-2</v>
      </c>
      <c r="M55" t="s">
        <v>29</v>
      </c>
      <c r="N55" s="35">
        <f>N54+'Version 4 (LI)'!B21+'Version 4 (LI)'!C20+'Version 4 (LI)'!D19+'Version 4 (LI)'!E18+'Version 4 (LI)'!F17+'Version 4 (LI)'!G16</f>
        <v>0.18888888888888886</v>
      </c>
      <c r="O55" s="35">
        <f>O54+B21+C20+D19+E18+F17+G16</f>
        <v>0.29452054794520549</v>
      </c>
      <c r="P55" s="35">
        <f t="shared" si="29"/>
        <v>0.10563165905631663</v>
      </c>
      <c r="X55" t="s">
        <v>29</v>
      </c>
      <c r="Y55" s="35">
        <f>Y54+'Version 3 (GI3) on-site'!B21+'Version 3 (GI3) on-site'!C20+'Version 3 (GI3) on-site'!D19+'Version 3 (GI3) on-site'!E18+'Version 3 (GI3) on-site'!F17+'Version 3 (GI3) on-site'!G16</f>
        <v>0.27187499999999998</v>
      </c>
      <c r="Z55" s="35">
        <v>0.29452054794520549</v>
      </c>
      <c r="AA55" s="35">
        <f t="shared" si="30"/>
        <v>2.2645547945205513E-2</v>
      </c>
      <c r="AI55" t="s">
        <v>29</v>
      </c>
      <c r="AJ55" s="35">
        <f>AJ54+'Version 1 (GI1) on-site'!B21+'Version 1 (GI1) on-site'!C20+'Version 1 (GI1) on-site'!D19+'Version 1 (GI1) on-site'!E18+'Version 1 (GI1) on-site'!F17+'Version 1 (GI1) on-site'!G16</f>
        <v>0.26838235294117646</v>
      </c>
      <c r="AK55" s="35">
        <f>AK54+'Version 2 (GI2) on-site'!B21+'Version 2 (GI2) on-site'!C20+'Version 2 (GI2) on-site'!D19+'Version 2 (GI2) on-site'!E18+'Version 2 (GI2) on-site'!F17+'Version 2 (GI2) on-site'!G16</f>
        <v>0.21710526315789469</v>
      </c>
      <c r="AL55" s="35">
        <f t="shared" si="31"/>
        <v>5.1277089783281771E-2</v>
      </c>
      <c r="AT55" t="s">
        <v>29</v>
      </c>
      <c r="AU55" s="35">
        <v>0.26838235294117646</v>
      </c>
      <c r="AV55" s="35">
        <v>0.27187499999999998</v>
      </c>
      <c r="AW55" s="70">
        <f t="shared" si="32"/>
        <v>3.492647058823517E-3</v>
      </c>
    </row>
    <row r="56" spans="1:49" x14ac:dyDescent="0.25">
      <c r="A56" t="s">
        <v>78</v>
      </c>
      <c r="B56">
        <f t="shared" ref="B56:B61" si="33">B47</f>
        <v>83</v>
      </c>
      <c r="C56" s="11">
        <f t="shared" ref="C56:C61" si="34">B56/B$54</f>
        <v>0.28424657534246578</v>
      </c>
      <c r="D56">
        <f t="shared" ref="D56:D61" si="35">D47</f>
        <v>19</v>
      </c>
      <c r="E56" s="9">
        <f t="shared" ref="E56:E61" si="36">D56/D$54</f>
        <v>0.296875</v>
      </c>
      <c r="G56" t="s">
        <v>132</v>
      </c>
      <c r="H56">
        <f t="shared" ref="H56:H61" si="37">H47</f>
        <v>91</v>
      </c>
      <c r="I56" s="32">
        <f t="shared" ref="I56:I61" si="38">H56/H$54</f>
        <v>0.31164383561643838</v>
      </c>
      <c r="J56">
        <f t="shared" ref="J56:J61" si="39">J47</f>
        <v>16</v>
      </c>
      <c r="K56" s="9">
        <f t="shared" ref="K56:K61" si="40">J56/J$54</f>
        <v>0.25</v>
      </c>
      <c r="M56" t="s">
        <v>30</v>
      </c>
      <c r="N56" s="35">
        <f>N55+'Version 4 (LI)'!B22+'Version 4 (LI)'!C21+'Version 4 (LI)'!D20+'Version 4 (LI)'!E19+'Version 4 (LI)'!F18+'Version 4 (LI)'!G17+'Version 4 (LI)'!H16</f>
        <v>0.43611111111111106</v>
      </c>
      <c r="O56" s="35">
        <f>O55+B22+C21+D20+E19+F18+G17+H16</f>
        <v>0.4863013698630137</v>
      </c>
      <c r="P56" s="35">
        <f t="shared" si="29"/>
        <v>5.0190258751902639E-2</v>
      </c>
      <c r="X56" t="s">
        <v>30</v>
      </c>
      <c r="Y56" s="35">
        <f>Y55+'Version 3 (GI3) on-site'!B22+'Version 3 (GI3) on-site'!C21+'Version 3 (GI3) on-site'!D20+'Version 3 (GI3) on-site'!E19+'Version 3 (GI3) on-site'!F18+'Version 3 (GI3) on-site'!G17+'Version 3 (GI3) on-site'!H16</f>
        <v>0.42812499999999998</v>
      </c>
      <c r="Z56" s="35">
        <v>0.4863013698630137</v>
      </c>
      <c r="AA56" s="35">
        <f t="shared" si="30"/>
        <v>5.8176369863013722E-2</v>
      </c>
      <c r="AI56" t="s">
        <v>30</v>
      </c>
      <c r="AJ56" s="35">
        <f>AJ55+'Version 1 (GI1) on-site'!B22+'Version 1 (GI1) on-site'!C21+'Version 1 (GI1) on-site'!D20+'Version 1 (GI1) on-site'!E19+'Version 1 (GI1) on-site'!F18+'Version 1 (GI1) on-site'!G17+'Version 1 (GI1) on-site'!H16</f>
        <v>0.41911764705882343</v>
      </c>
      <c r="AK56" s="35">
        <f>AK55+'Version 2 (GI2) on-site'!B22+'Version 2 (GI2) on-site'!C21+'Version 2 (GI2) on-site'!D20+'Version 2 (GI2) on-site'!E19+'Version 2 (GI2) on-site'!F18+'Version 2 (GI2) on-site'!G17+'Version 2 (GI2) on-site'!H16</f>
        <v>0.42434210526315785</v>
      </c>
      <c r="AL56" s="35">
        <f t="shared" si="31"/>
        <v>5.2244582043344256E-3</v>
      </c>
      <c r="AT56" t="s">
        <v>30</v>
      </c>
      <c r="AU56" s="35">
        <v>0.41911764705882343</v>
      </c>
      <c r="AV56" s="35">
        <v>0.42812499999999998</v>
      </c>
      <c r="AW56" s="70">
        <f t="shared" si="32"/>
        <v>9.0073529411765496E-3</v>
      </c>
    </row>
    <row r="57" spans="1:49" x14ac:dyDescent="0.25">
      <c r="A57" t="s">
        <v>79</v>
      </c>
      <c r="B57">
        <f t="shared" si="33"/>
        <v>86</v>
      </c>
      <c r="C57" s="11">
        <f t="shared" si="34"/>
        <v>0.29452054794520549</v>
      </c>
      <c r="D57">
        <f t="shared" si="35"/>
        <v>21</v>
      </c>
      <c r="E57" s="9">
        <f t="shared" si="36"/>
        <v>0.328125</v>
      </c>
      <c r="G57" t="s">
        <v>133</v>
      </c>
      <c r="H57">
        <f t="shared" si="37"/>
        <v>142</v>
      </c>
      <c r="I57" s="32">
        <f t="shared" si="38"/>
        <v>0.4863013698630137</v>
      </c>
      <c r="J57">
        <f t="shared" si="39"/>
        <v>28</v>
      </c>
      <c r="K57" s="9">
        <f t="shared" si="40"/>
        <v>0.4375</v>
      </c>
      <c r="M57" t="s">
        <v>31</v>
      </c>
      <c r="N57" s="35">
        <f>N56+'Version 4 (LI)'!B23+'Version 4 (LI)'!C22+'Version 4 (LI)'!D21+'Version 4 (LI)'!E20+'Version 4 (LI)'!F19+'Version 4 (LI)'!G18+'Version 4 (LI)'!H17+'Version 4 (LI)'!I16</f>
        <v>0.80555555555555547</v>
      </c>
      <c r="O57" s="35">
        <f>O56+B23+C22+D21+E20+F19+G18+H17+I16</f>
        <v>0.74657534246575352</v>
      </c>
      <c r="P57" s="35">
        <f t="shared" si="29"/>
        <v>5.8980213089801947E-2</v>
      </c>
      <c r="X57" t="s">
        <v>31</v>
      </c>
      <c r="Y57" s="35">
        <f>Y56+'Version 3 (GI3) on-site'!B23+'Version 3 (GI3) on-site'!C22+'Version 3 (GI3) on-site'!D21+'Version 3 (GI3) on-site'!E20+'Version 3 (GI3) on-site'!F19+'Version 3 (GI3) on-site'!G18+'Version 3 (GI3) on-site'!H17+'Version 3 (GI3) on-site'!I16</f>
        <v>0.79999999999999993</v>
      </c>
      <c r="Z57" s="35">
        <v>0.74657534246575352</v>
      </c>
      <c r="AA57" s="35">
        <f t="shared" si="30"/>
        <v>5.3424657534246411E-2</v>
      </c>
      <c r="AI57" t="s">
        <v>31</v>
      </c>
      <c r="AJ57" s="35">
        <f>AJ56+'Version 1 (GI1) on-site'!B23+'Version 1 (GI1) on-site'!C22+'Version 1 (GI1) on-site'!D21+'Version 1 (GI1) on-site'!E20+'Version 1 (GI1) on-site'!F19+'Version 1 (GI1) on-site'!G18+'Version 1 (GI1) on-site'!H17+'Version 1 (GI1) on-site'!I16</f>
        <v>0.73897058823529405</v>
      </c>
      <c r="AK57" s="35">
        <f>AK56+'Version 2 (GI2) on-site'!B23+'Version 2 (GI2) on-site'!C22+'Version 2 (GI2) on-site'!D21+'Version 2 (GI2) on-site'!E20+'Version 2 (GI2) on-site'!F19+'Version 2 (GI2) on-site'!G18+'Version 2 (GI2) on-site'!H17+'Version 2 (GI2) on-site'!I16</f>
        <v>0.7532894736842104</v>
      </c>
      <c r="AL57" s="35">
        <f t="shared" si="31"/>
        <v>1.4318885448916352E-2</v>
      </c>
      <c r="AT57" t="s">
        <v>31</v>
      </c>
      <c r="AU57" s="35">
        <v>0.73897058823529405</v>
      </c>
      <c r="AV57" s="35">
        <v>0.79999999999999993</v>
      </c>
      <c r="AW57" s="70">
        <f t="shared" si="32"/>
        <v>6.1029411764705888E-2</v>
      </c>
    </row>
    <row r="58" spans="1:49" x14ac:dyDescent="0.25">
      <c r="A58" t="s">
        <v>201</v>
      </c>
      <c r="B58">
        <f t="shared" si="33"/>
        <v>2</v>
      </c>
      <c r="C58" s="11">
        <f t="shared" si="34"/>
        <v>6.8493150684931503E-3</v>
      </c>
      <c r="D58">
        <f t="shared" si="35"/>
        <v>3</v>
      </c>
      <c r="E58" s="9">
        <f t="shared" si="36"/>
        <v>4.6875E-2</v>
      </c>
      <c r="G58" t="s">
        <v>199</v>
      </c>
      <c r="H58">
        <f t="shared" si="37"/>
        <v>0</v>
      </c>
      <c r="I58" s="32">
        <f t="shared" si="38"/>
        <v>0</v>
      </c>
      <c r="J58">
        <f t="shared" si="39"/>
        <v>1</v>
      </c>
      <c r="K58" s="9">
        <f t="shared" si="40"/>
        <v>1.5625E-2</v>
      </c>
      <c r="M58" t="s">
        <v>32</v>
      </c>
      <c r="N58" s="35">
        <f>N57+'Version 4 (LI)'!C23+'Version 4 (LI)'!D22+'Version 4 (LI)'!E21+'Version 4 (LI)'!F20+'Version 4 (LI)'!G19+'Version 4 (LI)'!H18+'Version 4 (LI)'!I17</f>
        <v>0.9277777777777777</v>
      </c>
      <c r="O58" s="35">
        <f>O57+C23+D22+E21+F20+G19+H18+I17</f>
        <v>0.84931506849315086</v>
      </c>
      <c r="P58" s="35">
        <f t="shared" si="29"/>
        <v>7.8462709284626841E-2</v>
      </c>
      <c r="X58" t="s">
        <v>32</v>
      </c>
      <c r="Y58" s="35">
        <f>Y57+'Version 3 (GI3) on-site'!C23+'Version 3 (GI3) on-site'!D22+'Version 3 (GI3) on-site'!E21+'Version 3 (GI3) on-site'!F20+'Version 3 (GI3) on-site'!G19+'Version 3 (GI3) on-site'!H18+'Version 3 (GI3) on-site'!I17</f>
        <v>0.921875</v>
      </c>
      <c r="Z58" s="35">
        <v>0.84931506849315086</v>
      </c>
      <c r="AA58" s="35">
        <f t="shared" si="30"/>
        <v>7.255993150684914E-2</v>
      </c>
      <c r="AI58" t="s">
        <v>32</v>
      </c>
      <c r="AJ58" s="35">
        <f>AJ57+'Version 1 (GI1) on-site'!C23+'Version 1 (GI1) on-site'!D22+'Version 1 (GI1) on-site'!E21+'Version 1 (GI1) on-site'!F20+'Version 1 (GI1) on-site'!G19+'Version 1 (GI1) on-site'!H18+'Version 1 (GI1) on-site'!I17</f>
        <v>0.87132352941176461</v>
      </c>
      <c r="AK58" s="35">
        <f>AK57+'Version 2 (GI2) on-site'!C23+'Version 2 (GI2) on-site'!D22+'Version 2 (GI2) on-site'!E21+'Version 2 (GI2) on-site'!F20+'Version 2 (GI2) on-site'!G19+'Version 2 (GI2) on-site'!H18+'Version 2 (GI2) on-site'!I17</f>
        <v>0.90460526315789458</v>
      </c>
      <c r="AL58" s="35">
        <f t="shared" si="31"/>
        <v>3.3281733746129971E-2</v>
      </c>
      <c r="AT58" t="s">
        <v>32</v>
      </c>
      <c r="AU58" s="35">
        <v>0.87132352941176461</v>
      </c>
      <c r="AV58" s="35">
        <v>0.921875</v>
      </c>
      <c r="AW58" s="70">
        <f t="shared" si="32"/>
        <v>5.0551470588235392E-2</v>
      </c>
    </row>
    <row r="59" spans="1:49" x14ac:dyDescent="0.25">
      <c r="A59" t="s">
        <v>139</v>
      </c>
      <c r="B59">
        <f t="shared" si="33"/>
        <v>35</v>
      </c>
      <c r="C59" s="11">
        <f t="shared" si="34"/>
        <v>0.11986301369863013</v>
      </c>
      <c r="D59">
        <f t="shared" si="35"/>
        <v>9</v>
      </c>
      <c r="E59" s="9">
        <f t="shared" si="36"/>
        <v>0.140625</v>
      </c>
      <c r="G59" t="s">
        <v>0</v>
      </c>
      <c r="H59">
        <f t="shared" si="37"/>
        <v>21</v>
      </c>
      <c r="I59" s="32">
        <f t="shared" si="38"/>
        <v>7.1917808219178078E-2</v>
      </c>
      <c r="J59">
        <f t="shared" si="39"/>
        <v>4</v>
      </c>
      <c r="K59" s="9">
        <f t="shared" si="40"/>
        <v>6.25E-2</v>
      </c>
      <c r="M59" t="s">
        <v>33</v>
      </c>
      <c r="N59" s="35">
        <f>N58+'Version 4 (LI)'!D23+'Version 4 (LI)'!E22+'Version 4 (LI)'!F21+'Version 4 (LI)'!G20+'Version 4 (LI)'!H19+'Version 4 (LI)'!I18</f>
        <v>0.9638888888888888</v>
      </c>
      <c r="O59" s="35">
        <f>O58+D23+E22+F21+G20+H19+I18</f>
        <v>0.91095890410958924</v>
      </c>
      <c r="P59" s="35">
        <f t="shared" si="29"/>
        <v>5.2929984779299555E-2</v>
      </c>
      <c r="X59" t="s">
        <v>33</v>
      </c>
      <c r="Y59" s="35">
        <f>Y58+'Version 3 (GI3) on-site'!D23+'Version 3 (GI3) on-site'!E22+'Version 3 (GI3) on-site'!F21+'Version 3 (GI3) on-site'!G20+'Version 3 (GI3) on-site'!H19+'Version 3 (GI3) on-site'!I18</f>
        <v>0.98124999999999984</v>
      </c>
      <c r="Z59" s="35">
        <v>0.91095890410958924</v>
      </c>
      <c r="AA59" s="35">
        <f t="shared" si="30"/>
        <v>7.0291095890410604E-2</v>
      </c>
      <c r="AI59" t="s">
        <v>33</v>
      </c>
      <c r="AJ59" s="35">
        <f>AJ58+'Version 1 (GI1) on-site'!D23+'Version 1 (GI1) on-site'!E22+'Version 1 (GI1) on-site'!F21+'Version 1 (GI1) on-site'!G20+'Version 1 (GI1) on-site'!H19+'Version 1 (GI1) on-site'!I18</f>
        <v>0.93014705882352922</v>
      </c>
      <c r="AK59" s="35">
        <f>AK58+'Version 2 (GI2) on-site'!D23+'Version 2 (GI2) on-site'!E22+'Version 2 (GI2) on-site'!F21+'Version 2 (GI2) on-site'!G20+'Version 2 (GI2) on-site'!H19+'Version 2 (GI2) on-site'!I18</f>
        <v>0.97039473684210509</v>
      </c>
      <c r="AL59" s="35">
        <f t="shared" si="31"/>
        <v>4.0247678018575872E-2</v>
      </c>
      <c r="AT59" t="s">
        <v>33</v>
      </c>
      <c r="AU59" s="35">
        <v>0.93014705882352922</v>
      </c>
      <c r="AV59" s="35">
        <v>0.98124999999999984</v>
      </c>
      <c r="AW59" s="70">
        <f t="shared" si="32"/>
        <v>5.1102941176470629E-2</v>
      </c>
    </row>
    <row r="60" spans="1:49" x14ac:dyDescent="0.25">
      <c r="A60" t="s">
        <v>140</v>
      </c>
      <c r="B60">
        <f t="shared" si="33"/>
        <v>44</v>
      </c>
      <c r="C60" s="11">
        <f t="shared" si="34"/>
        <v>0.15068493150684931</v>
      </c>
      <c r="D60">
        <f t="shared" si="35"/>
        <v>19</v>
      </c>
      <c r="E60" s="9">
        <f t="shared" si="36"/>
        <v>0.296875</v>
      </c>
      <c r="G60" t="s">
        <v>143</v>
      </c>
      <c r="H60">
        <f t="shared" si="37"/>
        <v>47</v>
      </c>
      <c r="I60" s="32">
        <f t="shared" si="38"/>
        <v>0.16095890410958905</v>
      </c>
      <c r="J60">
        <f t="shared" si="39"/>
        <v>16</v>
      </c>
      <c r="K60" s="9">
        <f t="shared" si="40"/>
        <v>0.25</v>
      </c>
      <c r="M60" t="s">
        <v>34</v>
      </c>
      <c r="N60" s="35">
        <f>N59+'Version 4 (LI)'!E23+'Version 4 (LI)'!F22+'Version 4 (LI)'!G21+'Version 4 (LI)'!H20+'Version 4 (LI)'!I19</f>
        <v>0.98333333333333317</v>
      </c>
      <c r="O60" s="35">
        <f>O59+E23+F22+G21+H20+I19</f>
        <v>0.96232876712328796</v>
      </c>
      <c r="P60" s="35">
        <f t="shared" si="29"/>
        <v>2.1004566210045206E-2</v>
      </c>
      <c r="X60" t="s">
        <v>34</v>
      </c>
      <c r="Y60" s="35">
        <f>Y59+'Version 3 (GI3) on-site'!E23+'Version 3 (GI3) on-site'!F22+'Version 3 (GI3) on-site'!G21+'Version 3 (GI3) on-site'!H20+'Version 3 (GI3) on-site'!I19</f>
        <v>0.99375000000000002</v>
      </c>
      <c r="Z60" s="35">
        <v>0.96232876712328796</v>
      </c>
      <c r="AA60" s="35">
        <f t="shared" si="30"/>
        <v>3.1421232876712057E-2</v>
      </c>
      <c r="AI60" t="s">
        <v>34</v>
      </c>
      <c r="AJ60" s="35">
        <f>AJ59+'Version 1 (GI1) on-site'!E23+'Version 1 (GI1) on-site'!F22+'Version 1 (GI1) on-site'!G21+'Version 1 (GI1) on-site'!H20+'Version 1 (GI1) on-site'!I19</f>
        <v>0.96323529411764675</v>
      </c>
      <c r="AK60" s="35">
        <f>AK59+'Version 2 (GI2) on-site'!E23+'Version 2 (GI2) on-site'!F22+'Version 2 (GI2) on-site'!G21+'Version 2 (GI2) on-site'!H20+'Version 2 (GI2) on-site'!I19</f>
        <v>0.97697368421052611</v>
      </c>
      <c r="AL60" s="35">
        <f t="shared" si="31"/>
        <v>1.373839009287936E-2</v>
      </c>
      <c r="AT60" t="s">
        <v>34</v>
      </c>
      <c r="AU60" s="35">
        <v>0.96323529411764675</v>
      </c>
      <c r="AV60" s="35">
        <v>0.99375000000000002</v>
      </c>
      <c r="AW60" s="70">
        <f t="shared" si="32"/>
        <v>3.0514705882353277E-2</v>
      </c>
    </row>
    <row r="61" spans="1:49" x14ac:dyDescent="0.25">
      <c r="A61" t="s">
        <v>141</v>
      </c>
      <c r="B61">
        <f t="shared" si="33"/>
        <v>44</v>
      </c>
      <c r="C61" s="11">
        <f t="shared" si="34"/>
        <v>0.15068493150684931</v>
      </c>
      <c r="D61">
        <f t="shared" si="35"/>
        <v>21</v>
      </c>
      <c r="E61" s="9">
        <f t="shared" si="36"/>
        <v>0.328125</v>
      </c>
      <c r="G61" t="s">
        <v>144</v>
      </c>
      <c r="H61">
        <f t="shared" si="37"/>
        <v>74</v>
      </c>
      <c r="I61" s="32">
        <f t="shared" si="38"/>
        <v>0.25342465753424659</v>
      </c>
      <c r="J61">
        <f t="shared" si="39"/>
        <v>28</v>
      </c>
      <c r="K61" s="9">
        <f t="shared" si="40"/>
        <v>0.4375</v>
      </c>
      <c r="M61" t="s">
        <v>35</v>
      </c>
      <c r="N61" s="35">
        <f>N60+'Version 4 (LI)'!F23+'Version 4 (LI)'!G22+'Version 4 (LI)'!H21+'Version 4 (LI)'!I20</f>
        <v>0.99166666666666647</v>
      </c>
      <c r="O61" s="35">
        <f>O60+F23+G22+H21+I20</f>
        <v>0.98630136986301409</v>
      </c>
      <c r="P61" s="35">
        <f t="shared" si="29"/>
        <v>5.3652968036523863E-3</v>
      </c>
      <c r="X61" t="s">
        <v>35</v>
      </c>
      <c r="Y61" s="35">
        <f>Y60+'Version 3 (GI3) on-site'!F23+'Version 3 (GI3) on-site'!G22+'Version 3 (GI3) on-site'!H21+'Version 3 (GI3) on-site'!I20</f>
        <v>1</v>
      </c>
      <c r="Z61" s="35">
        <v>0.98630136986301409</v>
      </c>
      <c r="AA61" s="35">
        <f t="shared" si="30"/>
        <v>1.3698630136985912E-2</v>
      </c>
      <c r="AI61" t="s">
        <v>35</v>
      </c>
      <c r="AJ61" s="35">
        <f>AJ60+'Version 1 (GI1) on-site'!F23+'Version 1 (GI1) on-site'!G22+'Version 1 (GI1) on-site'!H21+'Version 1 (GI1) on-site'!I20</f>
        <v>0.97794117647058787</v>
      </c>
      <c r="AK61" s="35">
        <f>AK60+'Version 2 (GI2) on-site'!F23+'Version 2 (GI2) on-site'!G22+'Version 2 (GI2) on-site'!H21+'Version 2 (GI2) on-site'!I20</f>
        <v>0.98684210526315763</v>
      </c>
      <c r="AL61" s="35">
        <f t="shared" si="31"/>
        <v>8.9009287925697622E-3</v>
      </c>
      <c r="AT61" t="s">
        <v>35</v>
      </c>
      <c r="AU61" s="35">
        <v>0.97794117647058787</v>
      </c>
      <c r="AV61" s="35">
        <v>1</v>
      </c>
      <c r="AW61" s="70">
        <f t="shared" si="32"/>
        <v>2.205882352941213E-2</v>
      </c>
    </row>
    <row r="62" spans="1:49" x14ac:dyDescent="0.25">
      <c r="M62" t="s">
        <v>36</v>
      </c>
      <c r="N62" s="35">
        <f>N61+'Version 4 (LI)'!G23+'Version 4 (LI)'!H22+'Version 4 (LI)'!I21</f>
        <v>0.99166666666666647</v>
      </c>
      <c r="O62" s="35">
        <f>O61+G23+H22+I21</f>
        <v>0.98972602739726068</v>
      </c>
      <c r="P62" s="35">
        <f t="shared" si="29"/>
        <v>1.9406392694057972E-3</v>
      </c>
      <c r="X62" t="s">
        <v>36</v>
      </c>
      <c r="Y62" s="35">
        <f>Y61+'Version 3 (GI3) on-site'!G23+'Version 3 (GI3) on-site'!H22+'Version 3 (GI3) on-site'!I21</f>
        <v>1</v>
      </c>
      <c r="Z62" s="35">
        <v>0.98972602739726068</v>
      </c>
      <c r="AA62" s="35">
        <f t="shared" si="30"/>
        <v>1.0273972602739323E-2</v>
      </c>
      <c r="AI62" t="s">
        <v>36</v>
      </c>
      <c r="AJ62" s="35">
        <f>AJ61+'Version 1 (GI1) on-site'!G23+'Version 1 (GI1) on-site'!H22+'Version 1 (GI1) on-site'!I21</f>
        <v>0.99264705882352899</v>
      </c>
      <c r="AK62" s="35">
        <f>AK61+'Version 2 (GI2) on-site'!G23+'Version 2 (GI2) on-site'!H22+'Version 2 (GI2) on-site'!I21</f>
        <v>0.98684210526315763</v>
      </c>
      <c r="AL62" s="35">
        <f t="shared" si="31"/>
        <v>5.804953560371362E-3</v>
      </c>
      <c r="AT62" t="s">
        <v>36</v>
      </c>
      <c r="AU62" s="35">
        <v>0.99264705882352899</v>
      </c>
      <c r="AV62" s="35">
        <v>1</v>
      </c>
      <c r="AW62" s="70">
        <f t="shared" si="32"/>
        <v>7.3529411764710062E-3</v>
      </c>
    </row>
    <row r="63" spans="1:49" x14ac:dyDescent="0.25">
      <c r="G63" s="8"/>
      <c r="H63" s="7" t="s">
        <v>68</v>
      </c>
      <c r="I63" s="7" t="s">
        <v>69</v>
      </c>
      <c r="J63" s="7" t="s">
        <v>70</v>
      </c>
      <c r="K63" s="7" t="s">
        <v>69</v>
      </c>
      <c r="M63" t="s">
        <v>37</v>
      </c>
      <c r="N63" s="35">
        <f>N62+'Version 4 (LI)'!H23+'Version 4 (LI)'!I22</f>
        <v>0.99722222222222201</v>
      </c>
      <c r="O63" s="35">
        <f>O62+H23+I22</f>
        <v>0.99315068493150727</v>
      </c>
      <c r="P63" s="35">
        <f t="shared" si="29"/>
        <v>4.071537290714744E-3</v>
      </c>
      <c r="X63" t="s">
        <v>37</v>
      </c>
      <c r="Y63" s="35">
        <f>Y62+'Version 3 (GI3) on-site'!H23+'Version 3 (GI3) on-site'!I22</f>
        <v>1</v>
      </c>
      <c r="Z63" s="35">
        <v>0.99315068493150727</v>
      </c>
      <c r="AA63" s="35">
        <f t="shared" si="30"/>
        <v>6.849315068492734E-3</v>
      </c>
      <c r="AI63" t="s">
        <v>37</v>
      </c>
      <c r="AJ63" s="35">
        <f>AJ62+'Version 1 (GI1) on-site'!H23+'Version 1 (GI1) on-site'!I22</f>
        <v>0.99264705882352899</v>
      </c>
      <c r="AK63" s="35">
        <f>AK62+'Version 2 (GI2) on-site'!H23+'Version 2 (GI2) on-site'!I22</f>
        <v>0.99013157894736814</v>
      </c>
      <c r="AL63" s="35">
        <f t="shared" si="31"/>
        <v>2.5154798761608532E-3</v>
      </c>
      <c r="AT63" t="s">
        <v>37</v>
      </c>
      <c r="AU63" s="35">
        <v>0.99264705882352899</v>
      </c>
      <c r="AV63" s="35">
        <v>1</v>
      </c>
      <c r="AW63" s="70">
        <f t="shared" si="32"/>
        <v>7.3529411764710062E-3</v>
      </c>
    </row>
    <row r="64" spans="1:49" x14ac:dyDescent="0.25">
      <c r="G64" t="s">
        <v>197</v>
      </c>
      <c r="H64" s="36">
        <v>292</v>
      </c>
      <c r="I64" s="9">
        <v>1</v>
      </c>
      <c r="J64">
        <v>64</v>
      </c>
      <c r="K64" s="9">
        <v>1</v>
      </c>
      <c r="M64" t="s">
        <v>38</v>
      </c>
      <c r="N64" s="35">
        <f>N63+'Version 4 (LI)'!I23</f>
        <v>0.99999999999999978</v>
      </c>
      <c r="O64" s="35">
        <f>O63+I23</f>
        <v>1.0000000000000004</v>
      </c>
      <c r="P64" s="35">
        <f t="shared" si="29"/>
        <v>6.6613381477509392E-16</v>
      </c>
      <c r="X64" t="s">
        <v>38</v>
      </c>
      <c r="Y64" s="35">
        <f>Y63+'Version 3 (GI3) on-site'!I23</f>
        <v>1</v>
      </c>
      <c r="Z64" s="35">
        <v>1.0000000000000004</v>
      </c>
      <c r="AA64" s="35">
        <f t="shared" si="30"/>
        <v>4.4408920985006262E-16</v>
      </c>
      <c r="AI64" t="s">
        <v>38</v>
      </c>
      <c r="AJ64" s="35">
        <f>AJ63+'Version 1 (GI1) on-site'!I23</f>
        <v>0.99999999999999956</v>
      </c>
      <c r="AK64" s="35">
        <f>AK63+'Version 2 (GI2) on-site'!I23</f>
        <v>0.99999999999999967</v>
      </c>
      <c r="AL64" s="35">
        <f t="shared" si="31"/>
        <v>1.1102230246251565E-16</v>
      </c>
      <c r="AT64" t="s">
        <v>38</v>
      </c>
      <c r="AU64" s="35">
        <v>0.99999999999999956</v>
      </c>
      <c r="AV64" s="35">
        <v>1</v>
      </c>
      <c r="AW64" s="70">
        <f t="shared" si="32"/>
        <v>4.4408920985006262E-16</v>
      </c>
    </row>
    <row r="65" spans="7:49" x14ac:dyDescent="0.25">
      <c r="H65" s="36"/>
      <c r="I65" s="11"/>
      <c r="K65" s="9"/>
      <c r="M65" t="s">
        <v>15</v>
      </c>
      <c r="N65" s="35"/>
      <c r="O65" s="35"/>
      <c r="P65" s="35">
        <f>MAX(P50:P64)</f>
        <v>0.10563165905631663</v>
      </c>
      <c r="X65" t="s">
        <v>15</v>
      </c>
      <c r="Y65" s="35"/>
      <c r="Z65" s="35"/>
      <c r="AA65" s="35">
        <f>MAX(AA50:AA64)</f>
        <v>7.255993150684914E-2</v>
      </c>
      <c r="AI65" t="s">
        <v>15</v>
      </c>
      <c r="AJ65" s="35"/>
      <c r="AK65" s="35"/>
      <c r="AL65" s="35">
        <f>MAX(AL50:AL64)</f>
        <v>8.4752321981424156E-2</v>
      </c>
      <c r="AT65" t="s">
        <v>15</v>
      </c>
      <c r="AU65" s="35"/>
      <c r="AV65" s="35"/>
      <c r="AW65" s="70">
        <f>MAX(AW50:AW64)</f>
        <v>6.1029411764705888E-2</v>
      </c>
    </row>
    <row r="66" spans="7:49" x14ac:dyDescent="0.25">
      <c r="H66" s="36"/>
      <c r="I66" s="11"/>
      <c r="K66" s="9"/>
      <c r="M66" t="s">
        <v>163</v>
      </c>
      <c r="AU66" s="35"/>
      <c r="AV66" s="35"/>
      <c r="AW66" s="70"/>
    </row>
    <row r="67" spans="7:49" x14ac:dyDescent="0.25">
      <c r="G67" t="s">
        <v>251</v>
      </c>
      <c r="H67" s="36">
        <f>H32-E6</f>
        <v>71</v>
      </c>
      <c r="I67" s="11">
        <f>H67/H64</f>
        <v>0.24315068493150685</v>
      </c>
      <c r="J67">
        <v>15</v>
      </c>
      <c r="K67" s="9">
        <f>J67/J64</f>
        <v>0.234375</v>
      </c>
      <c r="M67" t="s">
        <v>40</v>
      </c>
      <c r="N67" s="35">
        <f>'Version 4 (LI)'!I16</f>
        <v>2.2222222222222223E-2</v>
      </c>
      <c r="O67" s="35">
        <f>I16</f>
        <v>1.3698630136986301E-2</v>
      </c>
      <c r="P67" s="35">
        <f>ABS(N67-O67)</f>
        <v>8.5235920852359225E-3</v>
      </c>
      <c r="X67" t="s">
        <v>40</v>
      </c>
      <c r="Y67" s="35">
        <f>'Version 3 (GI3) on-site'!I16</f>
        <v>9.3749999999999997E-3</v>
      </c>
      <c r="Z67" s="35">
        <v>1.3698630136986301E-2</v>
      </c>
      <c r="AA67" s="35">
        <f>ABS(Y67-Z67)</f>
        <v>4.323630136986301E-3</v>
      </c>
      <c r="AI67" t="s">
        <v>40</v>
      </c>
      <c r="AJ67" s="35">
        <f>'Version 1 (GI1) on-site'!I16</f>
        <v>2.9411764705882353E-2</v>
      </c>
      <c r="AK67" s="35">
        <f>'Version 2 (GI2) on-site'!I16</f>
        <v>3.2894736842105261E-3</v>
      </c>
      <c r="AL67" s="35">
        <f>ABS(AJ67-AK67)</f>
        <v>2.6122291021671826E-2</v>
      </c>
      <c r="AT67" t="s">
        <v>40</v>
      </c>
      <c r="AU67" s="35">
        <v>2.9411764705882353E-2</v>
      </c>
      <c r="AV67" s="35">
        <v>9.3749999999999997E-3</v>
      </c>
      <c r="AW67" s="70">
        <f>ABS(AU67-AV67)</f>
        <v>2.0036764705882351E-2</v>
      </c>
    </row>
    <row r="68" spans="7:49" x14ac:dyDescent="0.25">
      <c r="G68" t="s">
        <v>252</v>
      </c>
      <c r="H68" s="36">
        <f>H33-E6</f>
        <v>122</v>
      </c>
      <c r="I68" s="11">
        <f>H68/H64</f>
        <v>0.4178082191780822</v>
      </c>
      <c r="J68">
        <v>27</v>
      </c>
      <c r="K68" s="9">
        <f>J68/J64</f>
        <v>0.421875</v>
      </c>
      <c r="M68" t="s">
        <v>41</v>
      </c>
      <c r="N68" s="35">
        <f>N67+'Version 4 (LI)'!H16+'Version 4 (LI)'!I17</f>
        <v>3.0555555555555558E-2</v>
      </c>
      <c r="O68" s="35">
        <f>O67+I17+H16</f>
        <v>1.7123287671232876E-2</v>
      </c>
      <c r="P68" s="35">
        <f t="shared" ref="P68:P81" si="41">ABS(N68-O68)</f>
        <v>1.3432267884322682E-2</v>
      </c>
      <c r="X68" t="s">
        <v>41</v>
      </c>
      <c r="Y68" s="35">
        <f>Y67+'Version 3 (GI3) on-site'!H16+'Version 3 (GI3) on-site'!I17</f>
        <v>1.8749999999999999E-2</v>
      </c>
      <c r="Z68" s="35">
        <v>1.7123287671232876E-2</v>
      </c>
      <c r="AA68" s="35">
        <f t="shared" ref="AA68:AA81" si="42">ABS(Y68-Z68)</f>
        <v>1.6267123287671235E-3</v>
      </c>
      <c r="AI68" t="s">
        <v>41</v>
      </c>
      <c r="AJ68" s="35">
        <f>AJ67+'Version 1 (GI1) on-site'!H16+'Version 1 (GI1) on-site'!I17</f>
        <v>6.6176470588235295E-2</v>
      </c>
      <c r="AK68" s="35">
        <f>AK67+'Version 2 (GI2) on-site'!H16+'Version 2 (GI2) on-site'!I17</f>
        <v>3.2894736842105261E-3</v>
      </c>
      <c r="AL68" s="35">
        <f t="shared" ref="AL68:AL81" si="43">ABS(AJ68-AK68)</f>
        <v>6.2886996904024772E-2</v>
      </c>
      <c r="AT68" t="s">
        <v>41</v>
      </c>
      <c r="AU68" s="35">
        <v>6.6176470588235295E-2</v>
      </c>
      <c r="AV68" s="35">
        <v>1.8749999999999999E-2</v>
      </c>
      <c r="AW68" s="70">
        <f t="shared" ref="AW68:AW81" si="44">ABS(AU68-AV68)</f>
        <v>4.7426470588235292E-2</v>
      </c>
    </row>
    <row r="69" spans="7:49" x14ac:dyDescent="0.25">
      <c r="H69" s="36"/>
      <c r="I69" s="11"/>
      <c r="K69" s="9"/>
      <c r="M69" t="s">
        <v>42</v>
      </c>
      <c r="N69" s="35">
        <f>N68+'Version 4 (LI)'!G16+'Version 4 (LI)'!H17+'Version 4 (LI)'!I18</f>
        <v>4.4444444444444446E-2</v>
      </c>
      <c r="O69" s="35">
        <f>O68+I18+H17+G16</f>
        <v>3.0821917808219176E-2</v>
      </c>
      <c r="P69" s="35">
        <f t="shared" si="41"/>
        <v>1.362252663622527E-2</v>
      </c>
      <c r="X69" t="s">
        <v>42</v>
      </c>
      <c r="Y69" s="35">
        <f>Y68+'Version 3 (GI3) on-site'!G16+'Version 3 (GI3) on-site'!H17+'Version 3 (GI3) on-site'!I18</f>
        <v>3.7499999999999999E-2</v>
      </c>
      <c r="Z69" s="35">
        <v>3.0821917808219176E-2</v>
      </c>
      <c r="AA69" s="35">
        <f t="shared" si="42"/>
        <v>6.6780821917808222E-3</v>
      </c>
      <c r="AI69" t="s">
        <v>42</v>
      </c>
      <c r="AJ69" s="35">
        <f>AJ68+'Version 1 (GI1) on-site'!G16+'Version 1 (GI1) on-site'!H17+'Version 1 (GI1) on-site'!I18</f>
        <v>0.10294117647058824</v>
      </c>
      <c r="AK69" s="35">
        <f>AK68+'Version 2 (GI2) on-site'!G16+'Version 2 (GI2) on-site'!H17+'Version 2 (GI2) on-site'!I18</f>
        <v>2.3026315789473683E-2</v>
      </c>
      <c r="AL69" s="35">
        <f t="shared" si="43"/>
        <v>7.9914860681114558E-2</v>
      </c>
      <c r="AT69" t="s">
        <v>42</v>
      </c>
      <c r="AU69" s="35">
        <v>0.10294117647058824</v>
      </c>
      <c r="AV69" s="35">
        <v>3.7499999999999999E-2</v>
      </c>
      <c r="AW69" s="70">
        <f t="shared" si="44"/>
        <v>6.5441176470588253E-2</v>
      </c>
    </row>
    <row r="70" spans="7:49" x14ac:dyDescent="0.25">
      <c r="H70" s="36"/>
      <c r="I70" s="11"/>
      <c r="K70" s="9"/>
      <c r="M70" t="s">
        <v>43</v>
      </c>
      <c r="N70" s="35">
        <f>N69+'Version 4 (LI)'!F16+'Version 4 (LI)'!G17+'Version 4 (LI)'!H18+'Version 4 (LI)'!I19</f>
        <v>5.2777777777777778E-2</v>
      </c>
      <c r="O70" s="35">
        <f>O69+I19+H18+G17+F16</f>
        <v>6.1643835616438353E-2</v>
      </c>
      <c r="P70" s="35">
        <f t="shared" si="41"/>
        <v>8.8660578386605751E-3</v>
      </c>
      <c r="X70" t="s">
        <v>43</v>
      </c>
      <c r="Y70" s="35">
        <f>Y69+'Version 3 (GI3) on-site'!F16+'Version 3 (GI3) on-site'!G17+'Version 3 (GI3) on-site'!H18+'Version 3 (GI3) on-site'!I19</f>
        <v>6.8750000000000006E-2</v>
      </c>
      <c r="Z70" s="35">
        <v>6.1643835616438353E-2</v>
      </c>
      <c r="AA70" s="35">
        <f t="shared" si="42"/>
        <v>7.1061643835616528E-3</v>
      </c>
      <c r="AI70" t="s">
        <v>43</v>
      </c>
      <c r="AJ70" s="35">
        <f>AJ69+'Version 1 (GI1) on-site'!F16+'Version 1 (GI1) on-site'!G17+'Version 1 (GI1) on-site'!H18+'Version 1 (GI1) on-site'!I19</f>
        <v>0.15808823529411764</v>
      </c>
      <c r="AK70" s="35">
        <f>AK69+'Version 2 (GI2) on-site'!F16+'Version 2 (GI2) on-site'!G17+'Version 2 (GI2) on-site'!H18+'Version 2 (GI2) on-site'!I19</f>
        <v>3.9473684210526314E-2</v>
      </c>
      <c r="AL70" s="35">
        <f t="shared" si="43"/>
        <v>0.11861455108359133</v>
      </c>
      <c r="AT70" t="s">
        <v>43</v>
      </c>
      <c r="AU70" s="35">
        <v>0.15808823529411764</v>
      </c>
      <c r="AV70" s="35">
        <v>6.8750000000000006E-2</v>
      </c>
      <c r="AW70" s="70">
        <f t="shared" si="44"/>
        <v>8.9338235294117635E-2</v>
      </c>
    </row>
    <row r="71" spans="7:49" x14ac:dyDescent="0.25">
      <c r="H71" s="36"/>
      <c r="I71" s="11"/>
      <c r="K71" s="9"/>
      <c r="M71" t="s">
        <v>44</v>
      </c>
      <c r="N71" s="35">
        <f>N70+'Version 4 (LI)'!E16+'Version 4 (LI)'!F17+'Version 4 (LI)'!G18+'Version 4 (LI)'!H19+'Version 4 (LI)'!I20</f>
        <v>0.11944444444444444</v>
      </c>
      <c r="O71" s="35">
        <f>O70+I20+H19+G18+F17+E16</f>
        <v>0.15753424657534248</v>
      </c>
      <c r="P71" s="35">
        <f t="shared" si="41"/>
        <v>3.8089802130898048E-2</v>
      </c>
      <c r="X71" t="s">
        <v>44</v>
      </c>
      <c r="Y71" s="35">
        <f>Y70+'Version 3 (GI3) on-site'!E16+'Version 3 (GI3) on-site'!F17+'Version 3 (GI3) on-site'!G18+'Version 3 (GI3) on-site'!H19+'Version 3 (GI3) on-site'!I20</f>
        <v>0.13125000000000001</v>
      </c>
      <c r="Z71" s="35">
        <v>0.15753424657534248</v>
      </c>
      <c r="AA71" s="35">
        <f t="shared" si="42"/>
        <v>2.6284246575342479E-2</v>
      </c>
      <c r="AI71" t="s">
        <v>44</v>
      </c>
      <c r="AJ71" s="35">
        <f>AJ70+'Version 1 (GI1) on-site'!E16+'Version 1 (GI1) on-site'!F17+'Version 1 (GI1) on-site'!G18+'Version 1 (GI1) on-site'!H19+'Version 1 (GI1) on-site'!I20</f>
        <v>0.29411764705882348</v>
      </c>
      <c r="AK71" s="35">
        <f>AK70+'Version 2 (GI2) on-site'!E16+'Version 2 (GI2) on-site'!F17+'Version 2 (GI2) on-site'!G18+'Version 2 (GI2) on-site'!H19+'Version 2 (GI2) on-site'!I20</f>
        <v>9.2105263157894718E-2</v>
      </c>
      <c r="AL71" s="35">
        <f t="shared" si="43"/>
        <v>0.20201238390092877</v>
      </c>
      <c r="AT71" t="s">
        <v>44</v>
      </c>
      <c r="AU71" s="35">
        <v>0.29411764705882348</v>
      </c>
      <c r="AV71" s="35">
        <v>0.13125000000000001</v>
      </c>
      <c r="AW71" s="70">
        <f t="shared" si="44"/>
        <v>0.16286764705882348</v>
      </c>
    </row>
    <row r="72" spans="7:49" x14ac:dyDescent="0.25">
      <c r="H72" s="36"/>
      <c r="I72" s="11"/>
      <c r="K72" s="9"/>
      <c r="M72" t="s">
        <v>45</v>
      </c>
      <c r="N72" s="35">
        <f>N71+'Version 4 (LI)'!D16+'Version 4 (LI)'!E17+'Version 4 (LI)'!F18+'Version 4 (LI)'!G19+'Version 4 (LI)'!H20+'Version 4 (LI)'!I21</f>
        <v>0.24444444444444444</v>
      </c>
      <c r="O72" s="35">
        <f>O71+I21+H20+G19+F18+E17+D16</f>
        <v>0.27397260273972607</v>
      </c>
      <c r="P72" s="35">
        <f t="shared" si="41"/>
        <v>2.9528158295281631E-2</v>
      </c>
      <c r="X72" t="s">
        <v>45</v>
      </c>
      <c r="Y72" s="35">
        <f>Y71+'Version 3 (GI3) on-site'!D16+'Version 3 (GI3) on-site'!E17+'Version 3 (GI3) on-site'!F18+'Version 3 (GI3) on-site'!G19+'Version 3 (GI3) on-site'!H20+'Version 3 (GI3) on-site'!I21</f>
        <v>0.19375000000000001</v>
      </c>
      <c r="Z72" s="35">
        <v>0.27397260273972607</v>
      </c>
      <c r="AA72" s="35">
        <f t="shared" si="42"/>
        <v>8.0222602739726062E-2</v>
      </c>
      <c r="AI72" t="s">
        <v>45</v>
      </c>
      <c r="AJ72" s="35">
        <f>AJ71+'Version 1 (GI1) on-site'!D16+'Version 1 (GI1) on-site'!E17+'Version 1 (GI1) on-site'!F18+'Version 1 (GI1) on-site'!G19+'Version 1 (GI1) on-site'!H20+'Version 1 (GI1) on-site'!I21</f>
        <v>0.40808823529411753</v>
      </c>
      <c r="AK72" s="35">
        <f>AK71+'Version 2 (GI2) on-site'!D16+'Version 2 (GI2) on-site'!E17+'Version 2 (GI2) on-site'!F18+'Version 2 (GI2) on-site'!G19+'Version 2 (GI2) on-site'!H20+'Version 2 (GI2) on-site'!I21</f>
        <v>0.13815789473684209</v>
      </c>
      <c r="AL72" s="35">
        <f t="shared" si="43"/>
        <v>0.26993034055727544</v>
      </c>
      <c r="AT72" t="s">
        <v>45</v>
      </c>
      <c r="AU72" s="35">
        <v>0.40808823529411753</v>
      </c>
      <c r="AV72" s="35">
        <v>0.19375000000000001</v>
      </c>
      <c r="AW72" s="70">
        <f t="shared" si="44"/>
        <v>0.21433823529411752</v>
      </c>
    </row>
    <row r="73" spans="7:49" x14ac:dyDescent="0.25">
      <c r="G73" t="s">
        <v>253</v>
      </c>
      <c r="H73" s="36">
        <f>H38-F7</f>
        <v>39</v>
      </c>
      <c r="I73" s="11">
        <f>H73/H64</f>
        <v>0.13356164383561644</v>
      </c>
      <c r="J73">
        <v>15</v>
      </c>
      <c r="K73" s="9">
        <f>J73/J64</f>
        <v>0.234375</v>
      </c>
      <c r="M73" t="s">
        <v>46</v>
      </c>
      <c r="N73" s="35">
        <f>N72+'Version 4 (LI)'!C16+'Version 4 (LI)'!D17+'Version 4 (LI)'!E18+'Version 4 (LI)'!F19+'Version 4 (LI)'!G20+'Version 4 (LI)'!H21+'Version 4 (LI)'!I22</f>
        <v>0.38055555555555559</v>
      </c>
      <c r="O73" s="35">
        <f>O72+I22+H21+G20+F19+E18+D17+C16</f>
        <v>0.4315068493150685</v>
      </c>
      <c r="P73" s="35">
        <f t="shared" si="41"/>
        <v>5.0951293759512906E-2</v>
      </c>
      <c r="X73" t="s">
        <v>46</v>
      </c>
      <c r="Y73" s="35">
        <f>Y72+'Version 3 (GI3) on-site'!C16+'Version 3 (GI3) on-site'!D17+'Version 3 (GI3) on-site'!E18+'Version 3 (GI3) on-site'!F19+'Version 3 (GI3) on-site'!G20+'Version 3 (GI3) on-site'!H21+'Version 3 (GI3) on-site'!I22</f>
        <v>0.35</v>
      </c>
      <c r="Z73" s="35">
        <v>0.4315068493150685</v>
      </c>
      <c r="AA73" s="35">
        <f t="shared" si="42"/>
        <v>8.1506849315068519E-2</v>
      </c>
      <c r="AI73" t="s">
        <v>46</v>
      </c>
      <c r="AJ73" s="35">
        <f>AJ72+'Version 1 (GI1) on-site'!C16+'Version 1 (GI1) on-site'!D17+'Version 1 (GI1) on-site'!E18+'Version 1 (GI1) on-site'!F19+'Version 1 (GI1) on-site'!G20+'Version 1 (GI1) on-site'!H21+'Version 1 (GI1) on-site'!I22</f>
        <v>0.54044117647058809</v>
      </c>
      <c r="AK73" s="35">
        <f>AK72+'Version 2 (GI2) on-site'!C16+'Version 2 (GI2) on-site'!D17+'Version 2 (GI2) on-site'!E18+'Version 2 (GI2) on-site'!F19+'Version 2 (GI2) on-site'!G20+'Version 2 (GI2) on-site'!H21+'Version 2 (GI2) on-site'!I22</f>
        <v>0.29276315789473689</v>
      </c>
      <c r="AL73" s="35">
        <f t="shared" si="43"/>
        <v>0.2476780185758512</v>
      </c>
      <c r="AT73" t="s">
        <v>46</v>
      </c>
      <c r="AU73" s="35">
        <v>0.54044117647058809</v>
      </c>
      <c r="AV73" s="35">
        <v>0.35</v>
      </c>
      <c r="AW73" s="70">
        <f t="shared" si="44"/>
        <v>0.19044117647058811</v>
      </c>
    </row>
    <row r="74" spans="7:49" x14ac:dyDescent="0.25">
      <c r="G74" t="s">
        <v>254</v>
      </c>
      <c r="H74" s="36">
        <f>H39-F7</f>
        <v>66</v>
      </c>
      <c r="I74" s="11">
        <f>H74/H64</f>
        <v>0.22602739726027396</v>
      </c>
      <c r="J74">
        <v>27</v>
      </c>
      <c r="K74" s="9">
        <f>J74/J64</f>
        <v>0.421875</v>
      </c>
      <c r="M74" t="s">
        <v>47</v>
      </c>
      <c r="N74" s="35">
        <f>N73+'Version 4 (LI)'!B16+'Version 4 (LI)'!C17+'Version 4 (LI)'!D18+'Version 4 (LI)'!E19+'Version 4 (LI)'!F20+'Version 4 (LI)'!G21+'Version 4 (LI)'!H22+'Version 4 (LI)'!I23</f>
        <v>0.56944444444444442</v>
      </c>
      <c r="O74" s="35">
        <f>O73+I23+H22+G21+F20+E19+D18+C17+B16</f>
        <v>0.6404109589041096</v>
      </c>
      <c r="P74" s="35">
        <f t="shared" si="41"/>
        <v>7.0966514459665175E-2</v>
      </c>
      <c r="X74" t="s">
        <v>47</v>
      </c>
      <c r="Y74" s="35">
        <f>Y73+'Version 3 (GI3) on-site'!B16+'Version 3 (GI3) on-site'!C17+'Version 3 (GI3) on-site'!D18+'Version 3 (GI3) on-site'!E19+'Version 3 (GI3) on-site'!F20+'Version 3 (GI3) on-site'!G21+'Version 3 (GI3) on-site'!H22+'Version 3 (GI3) on-site'!I23</f>
        <v>0.47499999999999998</v>
      </c>
      <c r="Z74" s="35">
        <v>0.6404109589041096</v>
      </c>
      <c r="AA74" s="35">
        <f t="shared" si="42"/>
        <v>0.16541095890410962</v>
      </c>
      <c r="AI74" t="s">
        <v>47</v>
      </c>
      <c r="AJ74" s="35">
        <f>AJ73+'Version 1 (GI1) on-site'!B16+'Version 1 (GI1) on-site'!C17+'Version 1 (GI1) on-site'!D18+'Version 1 (GI1) on-site'!E19+'Version 1 (GI1) on-site'!F20+'Version 1 (GI1) on-site'!G21+'Version 1 (GI1) on-site'!H22+'Version 1 (GI1) on-site'!I23</f>
        <v>0.72426470588235259</v>
      </c>
      <c r="AK74" s="35">
        <f>AK73+'Version 2 (GI2) on-site'!B16+'Version 2 (GI2) on-site'!C17+'Version 2 (GI2) on-site'!D18+'Version 2 (GI2) on-site'!E19+'Version 2 (GI2) on-site'!F20+'Version 2 (GI2) on-site'!G21+'Version 2 (GI2) on-site'!H22+'Version 2 (GI2) on-site'!I23</f>
        <v>0.50657894736842113</v>
      </c>
      <c r="AL74" s="35">
        <f t="shared" si="43"/>
        <v>0.21768575851393146</v>
      </c>
      <c r="AT74" t="s">
        <v>47</v>
      </c>
      <c r="AU74" s="35">
        <v>0.72426470588235259</v>
      </c>
      <c r="AV74" s="35">
        <v>0.47499999999999998</v>
      </c>
      <c r="AW74" s="70">
        <f t="shared" si="44"/>
        <v>0.24926470588235261</v>
      </c>
    </row>
    <row r="75" spans="7:49" x14ac:dyDescent="0.25">
      <c r="M75" t="s">
        <v>48</v>
      </c>
      <c r="N75" s="35">
        <f>N74+'Version 4 (LI)'!B17+'Version 4 (LI)'!C18+'Version 4 (LI)'!D19+'Version 4 (LI)'!E20+'Version 4 (LI)'!F21+'Version 4 (LI)'!G22+'Version 4 (LI)'!H23</f>
        <v>0.76111111111111107</v>
      </c>
      <c r="O75" s="35">
        <f>O74+H23+G22+F21+E20+D19+C18+B17</f>
        <v>0.81506849315068508</v>
      </c>
      <c r="P75" s="35">
        <f t="shared" si="41"/>
        <v>5.3957382039574009E-2</v>
      </c>
      <c r="X75" t="s">
        <v>48</v>
      </c>
      <c r="Y75" s="35">
        <f>Y74+'Version 3 (GI3) on-site'!B17+'Version 3 (GI3) on-site'!C18+'Version 3 (GI3) on-site'!D19+'Version 3 (GI3) on-site'!E20+'Version 3 (GI3) on-site'!F21+'Version 3 (GI3) on-site'!G22+'Version 3 (GI3) on-site'!H23</f>
        <v>0.70312499999999989</v>
      </c>
      <c r="Z75" s="35">
        <v>0.81506849315068508</v>
      </c>
      <c r="AA75" s="35">
        <f t="shared" si="42"/>
        <v>0.11194349315068519</v>
      </c>
      <c r="AI75" t="s">
        <v>48</v>
      </c>
      <c r="AJ75" s="35">
        <f>AJ74+'Version 1 (GI1) on-site'!B17+'Version 1 (GI1) on-site'!C18+'Version 1 (GI1) on-site'!D19+'Version 1 (GI1) on-site'!E20+'Version 1 (GI1) on-site'!F21+'Version 1 (GI1) on-site'!G22+'Version 1 (GI1) on-site'!H23</f>
        <v>0.89338235294117607</v>
      </c>
      <c r="AK75" s="35">
        <f>AK74+'Version 2 (GI2) on-site'!B17+'Version 2 (GI2) on-site'!C18+'Version 2 (GI2) on-site'!D19+'Version 2 (GI2) on-site'!E20+'Version 2 (GI2) on-site'!F21+'Version 2 (GI2) on-site'!G22+'Version 2 (GI2) on-site'!H23</f>
        <v>0.73355263157894746</v>
      </c>
      <c r="AL75" s="35">
        <f t="shared" si="43"/>
        <v>0.15982972136222862</v>
      </c>
      <c r="AT75" t="s">
        <v>48</v>
      </c>
      <c r="AU75" s="35">
        <v>0.89338235294117607</v>
      </c>
      <c r="AV75" s="35">
        <v>0.70312499999999989</v>
      </c>
      <c r="AW75" s="70">
        <f t="shared" si="44"/>
        <v>0.19025735294117618</v>
      </c>
    </row>
    <row r="76" spans="7:49" x14ac:dyDescent="0.25">
      <c r="M76" t="s">
        <v>49</v>
      </c>
      <c r="N76" s="35">
        <f>N75+'Version 4 (LI)'!B18+'Version 4 (LI)'!C19+'Version 4 (LI)'!D20+'Version 4 (LI)'!E21+'Version 4 (LI)'!F22+'Version 4 (LI)'!G23</f>
        <v>0.85</v>
      </c>
      <c r="O76" s="35">
        <f>O75+G23+F22+E21+D20+C19+B18</f>
        <v>0.90753424657534265</v>
      </c>
      <c r="P76" s="35">
        <f t="shared" si="41"/>
        <v>5.7534246575342674E-2</v>
      </c>
      <c r="X76" t="s">
        <v>49</v>
      </c>
      <c r="Y76" s="35">
        <f>Y75+'Version 3 (GI3) on-site'!B18+'Version 3 (GI3) on-site'!C19+'Version 3 (GI3) on-site'!D20+'Version 3 (GI3) on-site'!E21+'Version 3 (GI3) on-site'!F22+'Version 3 (GI3) on-site'!G23</f>
        <v>0.84062499999999984</v>
      </c>
      <c r="Z76" s="35">
        <v>0.90753424657534265</v>
      </c>
      <c r="AA76" s="35">
        <f t="shared" si="42"/>
        <v>6.6909246575342807E-2</v>
      </c>
      <c r="AI76" t="s">
        <v>49</v>
      </c>
      <c r="AJ76" s="35">
        <f>AJ75+'Version 1 (GI1) on-site'!B18+'Version 1 (GI1) on-site'!C19+'Version 1 (GI1) on-site'!D20+'Version 1 (GI1) on-site'!E21+'Version 1 (GI1) on-site'!F22+'Version 1 (GI1) on-site'!G23</f>
        <v>0.95220588235294079</v>
      </c>
      <c r="AK76" s="35">
        <f>AK75+'Version 2 (GI2) on-site'!B18+'Version 2 (GI2) on-site'!C19+'Version 2 (GI2) on-site'!D20+'Version 2 (GI2) on-site'!E21+'Version 2 (GI2) on-site'!F22+'Version 2 (GI2) on-site'!G23</f>
        <v>0.83223684210526316</v>
      </c>
      <c r="AL76" s="35">
        <f t="shared" si="43"/>
        <v>0.11996904024767763</v>
      </c>
      <c r="AT76" t="s">
        <v>49</v>
      </c>
      <c r="AU76" s="35">
        <v>0.95220588235294079</v>
      </c>
      <c r="AV76" s="35">
        <v>0.84062499999999984</v>
      </c>
      <c r="AW76" s="70">
        <f t="shared" si="44"/>
        <v>0.11158088235294095</v>
      </c>
    </row>
    <row r="77" spans="7:49" x14ac:dyDescent="0.25">
      <c r="M77" t="s">
        <v>50</v>
      </c>
      <c r="N77" s="35">
        <f>N76+'Version 4 (LI)'!B19+'Version 4 (LI)'!C20+'Version 4 (LI)'!D21+'Version 4 (LI)'!E22+'Version 4 (LI)'!F23</f>
        <v>0.93055555555555547</v>
      </c>
      <c r="O77" s="35">
        <f>O76+F23+E22+D21+C20+B19</f>
        <v>0.96575342465753455</v>
      </c>
      <c r="P77" s="35">
        <f t="shared" si="41"/>
        <v>3.5197869101979085E-2</v>
      </c>
      <c r="X77" t="s">
        <v>50</v>
      </c>
      <c r="Y77" s="35">
        <f>Y76+'Version 3 (GI3) on-site'!B19+'Version 3 (GI3) on-site'!C20+'Version 3 (GI3) on-site'!D21+'Version 3 (GI3) on-site'!E22+'Version 3 (GI3) on-site'!F23</f>
        <v>0.92812499999999976</v>
      </c>
      <c r="Z77" s="35">
        <v>0.96575342465753455</v>
      </c>
      <c r="AA77" s="35">
        <f t="shared" si="42"/>
        <v>3.7628424657534798E-2</v>
      </c>
      <c r="AI77" t="s">
        <v>50</v>
      </c>
      <c r="AJ77" s="35">
        <f>AJ76+'Version 1 (GI1) on-site'!B19+'Version 1 (GI1) on-site'!C20+'Version 1 (GI1) on-site'!D21+'Version 1 (GI1) on-site'!E22+'Version 1 (GI1) on-site'!F23</f>
        <v>0.99264705882352899</v>
      </c>
      <c r="AK77" s="35">
        <f>AK76+'Version 2 (GI2) on-site'!B19+'Version 2 (GI2) on-site'!C20+'Version 2 (GI2) on-site'!D21+'Version 2 (GI2) on-site'!E22+'Version 2 (GI2) on-site'!F23</f>
        <v>0.94407894736842102</v>
      </c>
      <c r="AL77" s="35">
        <f t="shared" si="43"/>
        <v>4.8568111455107976E-2</v>
      </c>
      <c r="AT77" t="s">
        <v>50</v>
      </c>
      <c r="AU77" s="35">
        <v>0.99264705882352899</v>
      </c>
      <c r="AV77" s="35">
        <v>0.92812499999999976</v>
      </c>
      <c r="AW77" s="70">
        <f t="shared" si="44"/>
        <v>6.4522058823529238E-2</v>
      </c>
    </row>
    <row r="78" spans="7:49" x14ac:dyDescent="0.25">
      <c r="M78" t="s">
        <v>51</v>
      </c>
      <c r="N78" s="35">
        <f>N77+'Version 4 (LI)'!B20+'Version 4 (LI)'!C21+'Version 4 (LI)'!D22+'Version 4 (LI)'!E23</f>
        <v>0.95833333333333326</v>
      </c>
      <c r="O78" s="35">
        <f>O77+E23+D22+C21+B20</f>
        <v>0.99315068493150727</v>
      </c>
      <c r="P78" s="35">
        <f t="shared" si="41"/>
        <v>3.4817351598174007E-2</v>
      </c>
      <c r="X78" t="s">
        <v>51</v>
      </c>
      <c r="Y78" s="35">
        <f>Y77+'Version 3 (GI3) on-site'!B20+'Version 3 (GI3) on-site'!C21+'Version 3 (GI3) on-site'!D22+'Version 3 (GI3) on-site'!E23</f>
        <v>0.95937499999999987</v>
      </c>
      <c r="Z78" s="35">
        <v>0.99315068493150727</v>
      </c>
      <c r="AA78" s="35">
        <f t="shared" si="42"/>
        <v>3.3775684931507399E-2</v>
      </c>
      <c r="AI78" t="s">
        <v>51</v>
      </c>
      <c r="AJ78" s="35">
        <f>AJ77+'Version 1 (GI1) on-site'!B20+'Version 1 (GI1) on-site'!C21+'Version 1 (GI1) on-site'!D22+'Version 1 (GI1) on-site'!E23</f>
        <v>0.99632352941176427</v>
      </c>
      <c r="AK78" s="35">
        <f>AK77+'Version 2 (GI2) on-site'!B20+'Version 2 (GI2) on-site'!C21+'Version 2 (GI2) on-site'!D22+'Version 2 (GI2) on-site'!E23</f>
        <v>0.99342105263157898</v>
      </c>
      <c r="AL78" s="35">
        <f t="shared" si="43"/>
        <v>2.9024767801852924E-3</v>
      </c>
      <c r="AT78" t="s">
        <v>51</v>
      </c>
      <c r="AU78" s="35">
        <v>0.99632352941176427</v>
      </c>
      <c r="AV78" s="35">
        <v>0.95937499999999987</v>
      </c>
      <c r="AW78" s="70">
        <f t="shared" si="44"/>
        <v>3.6948529411764408E-2</v>
      </c>
    </row>
    <row r="79" spans="7:49" x14ac:dyDescent="0.25">
      <c r="M79" t="s">
        <v>52</v>
      </c>
      <c r="N79" s="35">
        <f>N78+'Version 4 (LI)'!B21+'Version 4 (LI)'!C22+'Version 4 (LI)'!D23</f>
        <v>0.99166666666666659</v>
      </c>
      <c r="O79" s="35">
        <f>O78+D23+C22+B21</f>
        <v>0.99657534246575386</v>
      </c>
      <c r="P79" s="35">
        <f t="shared" si="41"/>
        <v>4.9086757990872698E-3</v>
      </c>
      <c r="X79" t="s">
        <v>52</v>
      </c>
      <c r="Y79" s="35">
        <f>Y78+'Version 3 (GI3) on-site'!B21+'Version 3 (GI3) on-site'!C22+'Version 3 (GI3) on-site'!D23</f>
        <v>0.98437499999999989</v>
      </c>
      <c r="Z79" s="35">
        <v>0.99657534246575386</v>
      </c>
      <c r="AA79" s="35">
        <f t="shared" si="42"/>
        <v>1.2200342465753966E-2</v>
      </c>
      <c r="AI79" t="s">
        <v>52</v>
      </c>
      <c r="AJ79" s="35">
        <f>AJ78+'Version 1 (GI1) on-site'!B21+'Version 1 (GI1) on-site'!C22+'Version 1 (GI1) on-site'!D23</f>
        <v>0.99632352941176427</v>
      </c>
      <c r="AK79" s="35">
        <f>AK78+'Version 2 (GI2) on-site'!B21+'Version 2 (GI2) on-site'!C22+'Version 2 (GI2) on-site'!D23</f>
        <v>1</v>
      </c>
      <c r="AL79" s="35">
        <f t="shared" si="43"/>
        <v>3.6764705882357251E-3</v>
      </c>
      <c r="AT79" t="s">
        <v>52</v>
      </c>
      <c r="AU79" s="35">
        <v>0.99632352941176427</v>
      </c>
      <c r="AV79" s="35">
        <v>0.98437499999999989</v>
      </c>
      <c r="AW79" s="70">
        <f t="shared" si="44"/>
        <v>1.1948529411764386E-2</v>
      </c>
    </row>
    <row r="80" spans="7:49" x14ac:dyDescent="0.25">
      <c r="M80" t="s">
        <v>53</v>
      </c>
      <c r="N80" s="35">
        <f>N79+'Version 4 (LI)'!B22+'Version 4 (LI)'!C23</f>
        <v>0.99722222222222212</v>
      </c>
      <c r="O80" s="35">
        <f>O79+C23+B22</f>
        <v>1.0000000000000004</v>
      </c>
      <c r="P80" s="35">
        <f t="shared" si="41"/>
        <v>2.777777777778323E-3</v>
      </c>
      <c r="X80" t="s">
        <v>53</v>
      </c>
      <c r="Y80" s="35">
        <f>Y79+'Version 3 (GI3) on-site'!B22+'Version 3 (GI3) on-site'!C23</f>
        <v>0.98749999999999993</v>
      </c>
      <c r="Z80" s="35">
        <v>1.0000000000000004</v>
      </c>
      <c r="AA80" s="35">
        <f t="shared" si="42"/>
        <v>1.2500000000000511E-2</v>
      </c>
      <c r="AI80" t="s">
        <v>53</v>
      </c>
      <c r="AJ80" s="35">
        <f>AJ79+'Version 1 (GI1) on-site'!B22+'Version 1 (GI1) on-site'!C23</f>
        <v>0.99632352941176427</v>
      </c>
      <c r="AK80" s="35">
        <f>AK79+'Version 2 (GI2) on-site'!B22+'Version 2 (GI2) on-site'!C23</f>
        <v>1</v>
      </c>
      <c r="AL80" s="35">
        <f t="shared" si="43"/>
        <v>3.6764705882357251E-3</v>
      </c>
      <c r="AT80" t="s">
        <v>53</v>
      </c>
      <c r="AU80" s="35">
        <v>0.99632352941176427</v>
      </c>
      <c r="AV80" s="35">
        <v>0.98749999999999993</v>
      </c>
      <c r="AW80" s="70">
        <f t="shared" si="44"/>
        <v>8.8235294117643415E-3</v>
      </c>
    </row>
    <row r="81" spans="13:49" x14ac:dyDescent="0.25">
      <c r="M81" t="s">
        <v>54</v>
      </c>
      <c r="N81" s="35">
        <f>N80+'Version 4 (LI)'!B23</f>
        <v>0.99999999999999989</v>
      </c>
      <c r="O81" s="35">
        <f>O80+B23</f>
        <v>1.0000000000000004</v>
      </c>
      <c r="P81" s="35">
        <f t="shared" si="41"/>
        <v>5.5511151231257827E-16</v>
      </c>
      <c r="X81" t="s">
        <v>54</v>
      </c>
      <c r="Y81" s="35">
        <f>Y80+'Version 3 (GI3) on-site'!B23</f>
        <v>0.99999999999999989</v>
      </c>
      <c r="Z81" s="35">
        <v>1.0000000000000004</v>
      </c>
      <c r="AA81" s="35">
        <f t="shared" si="42"/>
        <v>5.5511151231257827E-16</v>
      </c>
      <c r="AI81" t="s">
        <v>54</v>
      </c>
      <c r="AJ81" s="35">
        <f>AJ80+'Version 1 (GI1) on-site'!B23</f>
        <v>0.99999999999999956</v>
      </c>
      <c r="AK81" s="35">
        <f>AK80+'Version 2 (GI2) on-site'!B23</f>
        <v>1</v>
      </c>
      <c r="AL81" s="35">
        <f t="shared" si="43"/>
        <v>4.4408920985006262E-16</v>
      </c>
      <c r="AT81" t="s">
        <v>54</v>
      </c>
      <c r="AU81" s="35">
        <v>0.99999999999999956</v>
      </c>
      <c r="AV81" s="35">
        <v>0.99999999999999989</v>
      </c>
      <c r="AW81" s="70">
        <f t="shared" si="44"/>
        <v>3.3306690738754696E-16</v>
      </c>
    </row>
    <row r="82" spans="13:49" x14ac:dyDescent="0.25">
      <c r="M82" t="s">
        <v>15</v>
      </c>
      <c r="P82" s="35">
        <f>MAX(P67:P81)</f>
        <v>7.0966514459665175E-2</v>
      </c>
      <c r="X82" t="s">
        <v>15</v>
      </c>
      <c r="Y82" s="35"/>
      <c r="Z82" s="35"/>
      <c r="AA82" s="35">
        <f>MAX(AA67:AA81)</f>
        <v>0.16541095890410962</v>
      </c>
      <c r="AI82" t="s">
        <v>15</v>
      </c>
      <c r="AJ82" s="35"/>
      <c r="AK82" s="35"/>
      <c r="AL82" s="35">
        <f>MAX(AL67:AL81)</f>
        <v>0.26993034055727544</v>
      </c>
      <c r="AT82" t="s">
        <v>15</v>
      </c>
      <c r="AW82" s="70">
        <f>MAX(AW67:AW81)</f>
        <v>0.24926470588235261</v>
      </c>
    </row>
  </sheetData>
  <pageMargins left="0.7" right="0.7" top="0.75" bottom="0.75" header="0.3" footer="0.3"/>
  <pageSetup paperSize="0"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10"/>
  <sheetViews>
    <sheetView topLeftCell="K72" zoomScaleNormal="100" workbookViewId="0">
      <selection activeCell="L95" sqref="L95"/>
    </sheetView>
  </sheetViews>
  <sheetFormatPr defaultRowHeight="15" x14ac:dyDescent="0.25"/>
  <cols>
    <col min="9" max="9" width="9.140625" style="10"/>
    <col min="19" max="19" width="14.140625" customWidth="1"/>
    <col min="21" max="21" width="19.7109375" customWidth="1"/>
    <col min="22" max="22" width="15.7109375" customWidth="1"/>
  </cols>
  <sheetData>
    <row r="1" spans="1:38" x14ac:dyDescent="0.25">
      <c r="A1" s="1" t="s">
        <v>177</v>
      </c>
      <c r="J1" s="4" t="s">
        <v>58</v>
      </c>
      <c r="K1" s="4" t="s">
        <v>90</v>
      </c>
    </row>
    <row r="2" spans="1:38" x14ac:dyDescent="0.25">
      <c r="A2" s="1" t="s">
        <v>61</v>
      </c>
      <c r="J2" s="4"/>
      <c r="K2" s="4"/>
    </row>
    <row r="3" spans="1:38" x14ac:dyDescent="0.25">
      <c r="A3" s="2" t="s">
        <v>55</v>
      </c>
      <c r="B3">
        <v>0</v>
      </c>
      <c r="C3">
        <v>1</v>
      </c>
      <c r="D3">
        <v>0</v>
      </c>
      <c r="E3">
        <v>2</v>
      </c>
      <c r="F3">
        <v>3</v>
      </c>
      <c r="G3">
        <v>1</v>
      </c>
      <c r="H3">
        <v>0</v>
      </c>
      <c r="I3" s="10">
        <v>1</v>
      </c>
      <c r="J3" s="4">
        <f>SUM(B3:I3)</f>
        <v>8</v>
      </c>
      <c r="K3" s="12">
        <f>J3/J$11</f>
        <v>2.4691358024691357E-2</v>
      </c>
    </row>
    <row r="4" spans="1:38" x14ac:dyDescent="0.25">
      <c r="A4" s="3" t="s">
        <v>56</v>
      </c>
      <c r="B4">
        <v>0</v>
      </c>
      <c r="C4">
        <v>1</v>
      </c>
      <c r="D4">
        <v>4</v>
      </c>
      <c r="E4">
        <v>4</v>
      </c>
      <c r="F4">
        <v>1</v>
      </c>
      <c r="G4">
        <v>4</v>
      </c>
      <c r="H4">
        <v>3</v>
      </c>
      <c r="I4" s="10">
        <v>1</v>
      </c>
      <c r="J4" s="4">
        <f t="shared" ref="J4:J10" si="0">SUM(B4:I4)</f>
        <v>18</v>
      </c>
      <c r="K4" s="12">
        <f t="shared" ref="K4:K10" si="1">J4/J$11</f>
        <v>5.5555555555555552E-2</v>
      </c>
    </row>
    <row r="5" spans="1:38" x14ac:dyDescent="0.25">
      <c r="A5" t="s">
        <v>57</v>
      </c>
      <c r="B5">
        <v>0</v>
      </c>
      <c r="C5">
        <v>2</v>
      </c>
      <c r="D5">
        <v>15</v>
      </c>
      <c r="E5">
        <v>19</v>
      </c>
      <c r="F5">
        <v>11</v>
      </c>
      <c r="G5">
        <v>22</v>
      </c>
      <c r="H5">
        <v>1</v>
      </c>
      <c r="I5" s="10">
        <v>1</v>
      </c>
      <c r="J5" s="4">
        <f t="shared" si="0"/>
        <v>71</v>
      </c>
      <c r="K5" s="12">
        <f t="shared" si="1"/>
        <v>0.2191358024691358</v>
      </c>
    </row>
    <row r="6" spans="1:38" x14ac:dyDescent="0.25">
      <c r="A6" t="s">
        <v>59</v>
      </c>
      <c r="B6">
        <v>0</v>
      </c>
      <c r="C6">
        <v>1</v>
      </c>
      <c r="D6">
        <v>6</v>
      </c>
      <c r="E6">
        <v>44</v>
      </c>
      <c r="F6">
        <v>31</v>
      </c>
      <c r="G6">
        <v>8</v>
      </c>
      <c r="H6">
        <v>0</v>
      </c>
      <c r="I6" s="10">
        <v>1</v>
      </c>
      <c r="J6" s="4">
        <f t="shared" si="0"/>
        <v>91</v>
      </c>
      <c r="K6" s="12">
        <f t="shared" si="1"/>
        <v>0.28086419753086422</v>
      </c>
    </row>
    <row r="7" spans="1:38" x14ac:dyDescent="0.25">
      <c r="A7" t="s">
        <v>60</v>
      </c>
      <c r="B7">
        <v>3</v>
      </c>
      <c r="C7">
        <v>5</v>
      </c>
      <c r="D7">
        <v>13</v>
      </c>
      <c r="E7">
        <v>40</v>
      </c>
      <c r="F7">
        <v>8</v>
      </c>
      <c r="G7">
        <v>8</v>
      </c>
      <c r="H7">
        <v>3</v>
      </c>
      <c r="I7" s="10">
        <v>0</v>
      </c>
      <c r="J7" s="4">
        <f t="shared" si="0"/>
        <v>80</v>
      </c>
      <c r="K7" s="12">
        <f t="shared" si="1"/>
        <v>0.24691358024691357</v>
      </c>
    </row>
    <row r="8" spans="1:38" x14ac:dyDescent="0.25">
      <c r="A8" t="s">
        <v>62</v>
      </c>
      <c r="B8">
        <v>0</v>
      </c>
      <c r="C8">
        <v>0</v>
      </c>
      <c r="D8">
        <v>12</v>
      </c>
      <c r="E8">
        <v>11</v>
      </c>
      <c r="F8">
        <v>8</v>
      </c>
      <c r="G8">
        <v>5</v>
      </c>
      <c r="H8">
        <v>0</v>
      </c>
      <c r="I8" s="10">
        <v>0</v>
      </c>
      <c r="J8" s="4">
        <f t="shared" si="0"/>
        <v>36</v>
      </c>
      <c r="K8" s="12">
        <f t="shared" si="1"/>
        <v>0.1111111111111111</v>
      </c>
    </row>
    <row r="9" spans="1:38" x14ac:dyDescent="0.25">
      <c r="A9" t="s">
        <v>63</v>
      </c>
      <c r="B9">
        <v>1</v>
      </c>
      <c r="C9">
        <v>6</v>
      </c>
      <c r="D9">
        <v>4</v>
      </c>
      <c r="E9">
        <v>0</v>
      </c>
      <c r="F9">
        <v>2</v>
      </c>
      <c r="G9">
        <v>3</v>
      </c>
      <c r="H9">
        <v>1</v>
      </c>
      <c r="I9" s="10">
        <v>0</v>
      </c>
      <c r="J9" s="4">
        <f t="shared" si="0"/>
        <v>17</v>
      </c>
      <c r="K9" s="12">
        <f t="shared" si="1"/>
        <v>5.2469135802469133E-2</v>
      </c>
    </row>
    <row r="10" spans="1:38" x14ac:dyDescent="0.25">
      <c r="A10" t="s">
        <v>64</v>
      </c>
      <c r="B10">
        <v>1</v>
      </c>
      <c r="C10">
        <v>0</v>
      </c>
      <c r="D10">
        <v>1</v>
      </c>
      <c r="E10">
        <v>1</v>
      </c>
      <c r="F10">
        <v>0</v>
      </c>
      <c r="G10">
        <v>0</v>
      </c>
      <c r="H10">
        <v>0</v>
      </c>
      <c r="I10" s="10">
        <v>0</v>
      </c>
      <c r="J10" s="4">
        <f t="shared" si="0"/>
        <v>3</v>
      </c>
      <c r="K10" s="12">
        <f t="shared" si="1"/>
        <v>9.2592592592592587E-3</v>
      </c>
    </row>
    <row r="11" spans="1:38" x14ac:dyDescent="0.25">
      <c r="A11" s="5" t="s">
        <v>65</v>
      </c>
      <c r="B11" s="6">
        <f>SUM(B3:B10)</f>
        <v>5</v>
      </c>
      <c r="C11" s="6">
        <f t="shared" ref="C11:I11" si="2">SUM(C3:C10)</f>
        <v>16</v>
      </c>
      <c r="D11" s="6">
        <f t="shared" si="2"/>
        <v>55</v>
      </c>
      <c r="E11" s="6">
        <f t="shared" si="2"/>
        <v>121</v>
      </c>
      <c r="F11" s="6">
        <f t="shared" si="2"/>
        <v>64</v>
      </c>
      <c r="G11" s="6">
        <f t="shared" si="2"/>
        <v>51</v>
      </c>
      <c r="H11" s="6">
        <f t="shared" si="2"/>
        <v>8</v>
      </c>
      <c r="I11" s="33">
        <f t="shared" si="2"/>
        <v>4</v>
      </c>
      <c r="J11" s="4">
        <f>SUM(J3:J10)</f>
        <v>324</v>
      </c>
      <c r="K11" s="4"/>
    </row>
    <row r="12" spans="1:38" x14ac:dyDescent="0.25">
      <c r="A12" s="5" t="s">
        <v>91</v>
      </c>
      <c r="B12" s="13">
        <f>B11/$J$11</f>
        <v>1.5432098765432098E-2</v>
      </c>
      <c r="C12" s="13">
        <f t="shared" ref="C12:I12" si="3">C11/$J$11</f>
        <v>4.9382716049382713E-2</v>
      </c>
      <c r="D12" s="13">
        <f t="shared" si="3"/>
        <v>0.16975308641975309</v>
      </c>
      <c r="E12" s="13">
        <f t="shared" si="3"/>
        <v>0.37345679012345678</v>
      </c>
      <c r="F12" s="13">
        <f t="shared" si="3"/>
        <v>0.19753086419753085</v>
      </c>
      <c r="G12" s="13">
        <f t="shared" si="3"/>
        <v>0.15740740740740741</v>
      </c>
      <c r="H12" s="13">
        <f t="shared" si="3"/>
        <v>2.4691358024691357E-2</v>
      </c>
      <c r="I12" s="29">
        <f t="shared" si="3"/>
        <v>1.2345679012345678E-2</v>
      </c>
      <c r="J12" s="19">
        <f>SUM(B12:I12)</f>
        <v>1</v>
      </c>
      <c r="K12" s="4"/>
    </row>
    <row r="13" spans="1:38" x14ac:dyDescent="0.25">
      <c r="A13" s="5" t="s">
        <v>88</v>
      </c>
      <c r="B13" s="6" t="s">
        <v>64</v>
      </c>
      <c r="C13" s="6" t="s">
        <v>63</v>
      </c>
      <c r="D13" s="6" t="s">
        <v>62</v>
      </c>
      <c r="E13" s="6" t="s">
        <v>60</v>
      </c>
      <c r="F13" s="6" t="s">
        <v>59</v>
      </c>
      <c r="G13" s="6" t="s">
        <v>57</v>
      </c>
      <c r="H13" s="6" t="s">
        <v>89</v>
      </c>
      <c r="I13" s="33" t="s">
        <v>55</v>
      </c>
      <c r="J13" s="4"/>
      <c r="K13" s="4"/>
    </row>
    <row r="14" spans="1:38" x14ac:dyDescent="0.25">
      <c r="A14" s="8" t="s">
        <v>108</v>
      </c>
      <c r="B14" s="7"/>
      <c r="C14" s="7"/>
      <c r="D14" s="7"/>
      <c r="E14" s="7"/>
      <c r="F14" s="7"/>
      <c r="G14" s="7"/>
      <c r="H14" s="7"/>
      <c r="I14" s="54"/>
      <c r="J14" s="7"/>
      <c r="K14" s="7"/>
      <c r="M14" s="8" t="s">
        <v>180</v>
      </c>
      <c r="N14" s="7"/>
      <c r="O14" s="7"/>
      <c r="P14" s="7"/>
    </row>
    <row r="15" spans="1:38" x14ac:dyDescent="0.25">
      <c r="A15" s="1" t="s">
        <v>61</v>
      </c>
      <c r="J15" s="4"/>
      <c r="K15" s="4"/>
      <c r="M15" s="1" t="s">
        <v>61</v>
      </c>
      <c r="V15" s="4"/>
      <c r="Y15" t="s">
        <v>202</v>
      </c>
      <c r="AE15" t="s">
        <v>213</v>
      </c>
      <c r="AJ15" t="s">
        <v>153</v>
      </c>
    </row>
    <row r="16" spans="1:38" x14ac:dyDescent="0.25">
      <c r="A16" s="2" t="s">
        <v>55</v>
      </c>
      <c r="B16" s="20">
        <f t="shared" ref="B16:I23" si="4">B3/$J$11</f>
        <v>0</v>
      </c>
      <c r="C16" s="20">
        <f t="shared" si="4"/>
        <v>3.0864197530864196E-3</v>
      </c>
      <c r="D16" s="20">
        <f t="shared" si="4"/>
        <v>0</v>
      </c>
      <c r="E16" s="20">
        <f t="shared" si="4"/>
        <v>6.1728395061728392E-3</v>
      </c>
      <c r="F16" s="20">
        <f t="shared" si="4"/>
        <v>9.2592592592592587E-3</v>
      </c>
      <c r="G16" s="20">
        <f t="shared" si="4"/>
        <v>3.0864197530864196E-3</v>
      </c>
      <c r="H16" s="20">
        <f t="shared" si="4"/>
        <v>0</v>
      </c>
      <c r="I16" s="28">
        <f t="shared" si="4"/>
        <v>3.0864197530864196E-3</v>
      </c>
      <c r="J16" s="39">
        <f>SUM(B16:I16)</f>
        <v>2.4691358024691357E-2</v>
      </c>
      <c r="K16" s="12"/>
      <c r="M16" s="2" t="s">
        <v>55</v>
      </c>
      <c r="N16" s="20">
        <f>B16-'Version 3 (GI3) on-site'!B16</f>
        <v>-3.1250000000000002E-3</v>
      </c>
      <c r="O16" s="20">
        <f>C16-'Version 3 (GI3) on-site'!C16</f>
        <v>-6.2885802469135801E-3</v>
      </c>
      <c r="P16" s="20">
        <f>D16-'Version 3 (GI3) on-site'!D16</f>
        <v>-6.2500000000000003E-3</v>
      </c>
      <c r="Q16" s="20">
        <f>E16-'Version 3 (GI3) on-site'!E16</f>
        <v>-1.5702160493827159E-2</v>
      </c>
      <c r="R16" s="20">
        <f>F16-'Version 3 (GI3) on-site'!F16</f>
        <v>-1.261574074074074E-2</v>
      </c>
      <c r="S16" s="20">
        <f>G16-'Version 3 (GI3) on-site'!G16</f>
        <v>-3.8580246913580592E-5</v>
      </c>
      <c r="T16" s="20">
        <f>H16-'Version 3 (GI3) on-site'!H16</f>
        <v>-6.2500000000000003E-3</v>
      </c>
      <c r="U16" s="20">
        <f>I16-'Version 3 (GI3) on-site'!I16</f>
        <v>-6.2885802469135801E-3</v>
      </c>
      <c r="V16" s="12">
        <f>SUM(N16:U16)</f>
        <v>-5.6558641975308646E-2</v>
      </c>
      <c r="X16" s="41" t="s">
        <v>179</v>
      </c>
      <c r="Y16" t="s">
        <v>203</v>
      </c>
      <c r="Z16" t="s">
        <v>204</v>
      </c>
      <c r="AA16" t="s">
        <v>212</v>
      </c>
      <c r="AD16" s="41" t="s">
        <v>179</v>
      </c>
      <c r="AE16" t="s">
        <v>203</v>
      </c>
      <c r="AF16" t="s">
        <v>214</v>
      </c>
      <c r="AG16" t="s">
        <v>212</v>
      </c>
      <c r="AJ16" t="s">
        <v>145</v>
      </c>
      <c r="AK16" t="s">
        <v>146</v>
      </c>
      <c r="AL16" t="s">
        <v>150</v>
      </c>
    </row>
    <row r="17" spans="1:39" x14ac:dyDescent="0.25">
      <c r="A17" s="3" t="s">
        <v>56</v>
      </c>
      <c r="B17" s="20">
        <f t="shared" si="4"/>
        <v>0</v>
      </c>
      <c r="C17" s="20">
        <f t="shared" si="4"/>
        <v>3.0864197530864196E-3</v>
      </c>
      <c r="D17" s="20">
        <f t="shared" si="4"/>
        <v>1.2345679012345678E-2</v>
      </c>
      <c r="E17" s="20">
        <f t="shared" si="4"/>
        <v>1.2345679012345678E-2</v>
      </c>
      <c r="F17" s="20">
        <f t="shared" si="4"/>
        <v>3.0864197530864196E-3</v>
      </c>
      <c r="G17" s="20">
        <f t="shared" si="4"/>
        <v>1.2345679012345678E-2</v>
      </c>
      <c r="H17" s="20">
        <f t="shared" si="4"/>
        <v>9.2592592592592587E-3</v>
      </c>
      <c r="I17" s="28">
        <f t="shared" si="4"/>
        <v>3.0864197530864196E-3</v>
      </c>
      <c r="J17" s="39">
        <f t="shared" ref="J17:J23" si="5">SUM(B17:I17)</f>
        <v>5.5555555555555552E-2</v>
      </c>
      <c r="K17" s="12"/>
      <c r="M17" s="3" t="s">
        <v>56</v>
      </c>
      <c r="N17" s="20">
        <f>B17-'Version 3 (GI3) on-site'!B17</f>
        <v>0</v>
      </c>
      <c r="O17" s="20">
        <f>C17-'Version 3 (GI3) on-site'!C17</f>
        <v>-3.1635802469135808E-3</v>
      </c>
      <c r="P17" s="20">
        <f>D17-'Version 3 (GI3) on-site'!D17</f>
        <v>-3.2793209876543217E-3</v>
      </c>
      <c r="Q17" s="20">
        <f>E17-'Version 3 (GI3) on-site'!E17</f>
        <v>-1.8904320987654322E-2</v>
      </c>
      <c r="R17" s="20">
        <f>F17-'Version 3 (GI3) on-site'!F17</f>
        <v>-6.2885802469135801E-3</v>
      </c>
      <c r="S17" s="20">
        <f>G17-'Version 3 (GI3) on-site'!G17</f>
        <v>9.220679012345679E-3</v>
      </c>
      <c r="T17" s="20">
        <f>H17-'Version 3 (GI3) on-site'!H17</f>
        <v>3.0092592592592584E-3</v>
      </c>
      <c r="U17" s="20">
        <f>I17-'Version 3 (GI3) on-site'!I17</f>
        <v>-3.8580246913580592E-5</v>
      </c>
      <c r="V17" s="12">
        <f t="shared" ref="V17:V23" si="6">SUM(N17:U17)</f>
        <v>-1.9444444444444448E-2</v>
      </c>
      <c r="X17">
        <v>1</v>
      </c>
      <c r="Y17" s="35">
        <f>B24</f>
        <v>1.5432098765432098E-2</v>
      </c>
      <c r="Z17" s="35">
        <f>J23</f>
        <v>9.2592592592592587E-3</v>
      </c>
      <c r="AA17" s="35">
        <f>ABS(Y17-Z17)</f>
        <v>6.1728395061728392E-3</v>
      </c>
      <c r="AD17">
        <v>1</v>
      </c>
      <c r="AE17" s="35">
        <f>Y17</f>
        <v>1.5432098765432098E-2</v>
      </c>
      <c r="AF17" s="35">
        <f>J16</f>
        <v>2.4691358024691357E-2</v>
      </c>
      <c r="AG17" s="35">
        <f>ABS(AE17-AF17)</f>
        <v>9.2592592592592587E-3</v>
      </c>
      <c r="AJ17">
        <v>0.1</v>
      </c>
      <c r="AK17">
        <v>1.22</v>
      </c>
      <c r="AL17">
        <f>SQRT((AJ22+AJ23)/(AJ22*AJ23))</f>
        <v>0.15713484026367722</v>
      </c>
      <c r="AM17">
        <f>PRODUCT(AL17, AK17)</f>
        <v>0.19170450512168621</v>
      </c>
    </row>
    <row r="18" spans="1:39" x14ac:dyDescent="0.25">
      <c r="A18" t="s">
        <v>57</v>
      </c>
      <c r="B18" s="20">
        <f t="shared" si="4"/>
        <v>0</v>
      </c>
      <c r="C18" s="20">
        <f t="shared" si="4"/>
        <v>6.1728395061728392E-3</v>
      </c>
      <c r="D18" s="20">
        <f t="shared" si="4"/>
        <v>4.6296296296296294E-2</v>
      </c>
      <c r="E18" s="20">
        <f t="shared" si="4"/>
        <v>5.8641975308641972E-2</v>
      </c>
      <c r="F18" s="20">
        <f t="shared" si="4"/>
        <v>3.3950617283950615E-2</v>
      </c>
      <c r="G18" s="20">
        <f t="shared" si="4"/>
        <v>6.7901234567901231E-2</v>
      </c>
      <c r="H18" s="20">
        <f t="shared" si="4"/>
        <v>3.0864197530864196E-3</v>
      </c>
      <c r="I18" s="28">
        <f t="shared" si="4"/>
        <v>3.0864197530864196E-3</v>
      </c>
      <c r="J18" s="39">
        <f t="shared" si="5"/>
        <v>0.21913580246913578</v>
      </c>
      <c r="K18" s="12"/>
      <c r="M18" t="s">
        <v>57</v>
      </c>
      <c r="N18" s="20">
        <f>B18-'Version 3 (GI3) on-site'!B18</f>
        <v>0</v>
      </c>
      <c r="O18" s="20">
        <f>C18-'Version 3 (GI3) on-site'!C18</f>
        <v>3.047839506172839E-3</v>
      </c>
      <c r="P18" s="20">
        <f>D18-'Version 3 (GI3) on-site'!D18</f>
        <v>2.1296296296296292E-2</v>
      </c>
      <c r="Q18" s="20">
        <f>E18-'Version 3 (GI3) on-site'!E18</f>
        <v>5.5169753086419734E-3</v>
      </c>
      <c r="R18" s="20">
        <f>F18-'Version 3 (GI3) on-site'!F18</f>
        <v>2.1450617283950615E-2</v>
      </c>
      <c r="S18" s="20">
        <f>G18-'Version 3 (GI3) on-site'!G18</f>
        <v>4.6026234567901232E-2</v>
      </c>
      <c r="T18" s="20">
        <f>H18-'Version 3 (GI3) on-site'!H18</f>
        <v>-3.1635802469135808E-3</v>
      </c>
      <c r="U18" s="20">
        <f>I18-'Version 3 (GI3) on-site'!I18</f>
        <v>-6.2885802469135801E-3</v>
      </c>
      <c r="V18" s="12">
        <f t="shared" si="6"/>
        <v>8.7885802469135799E-2</v>
      </c>
      <c r="X18" t="s">
        <v>205</v>
      </c>
      <c r="Y18" s="35">
        <f>B24+C24</f>
        <v>6.4814814814814811E-2</v>
      </c>
      <c r="Z18" s="35">
        <f>J23+J22</f>
        <v>6.1728395061728392E-2</v>
      </c>
      <c r="AA18" s="35">
        <f t="shared" ref="AA18:AA24" si="7">ABS(Y18-Z18)</f>
        <v>3.0864197530864196E-3</v>
      </c>
      <c r="AD18" t="s">
        <v>205</v>
      </c>
      <c r="AE18" s="35">
        <f t="shared" ref="AE18:AE24" si="8">Y18</f>
        <v>6.4814814814814811E-2</v>
      </c>
      <c r="AF18" s="35">
        <f>J16+J17</f>
        <v>8.0246913580246909E-2</v>
      </c>
      <c r="AG18" s="35">
        <f t="shared" ref="AG18:AG24" si="9">ABS(AE18-AF18)</f>
        <v>1.5432098765432098E-2</v>
      </c>
      <c r="AJ18">
        <v>0.05</v>
      </c>
      <c r="AK18">
        <v>1.36</v>
      </c>
      <c r="AM18">
        <f>AL17*AK18</f>
        <v>0.21370338275860104</v>
      </c>
    </row>
    <row r="19" spans="1:39" x14ac:dyDescent="0.25">
      <c r="A19" t="s">
        <v>59</v>
      </c>
      <c r="B19" s="20">
        <f t="shared" si="4"/>
        <v>0</v>
      </c>
      <c r="C19" s="20">
        <f t="shared" si="4"/>
        <v>3.0864197530864196E-3</v>
      </c>
      <c r="D19" s="20">
        <f t="shared" si="4"/>
        <v>1.8518518518518517E-2</v>
      </c>
      <c r="E19" s="20">
        <f t="shared" si="4"/>
        <v>0.13580246913580246</v>
      </c>
      <c r="F19" s="20">
        <f t="shared" si="4"/>
        <v>9.5679012345679007E-2</v>
      </c>
      <c r="G19" s="20">
        <f t="shared" si="4"/>
        <v>2.4691358024691357E-2</v>
      </c>
      <c r="H19" s="20">
        <f t="shared" si="4"/>
        <v>0</v>
      </c>
      <c r="I19" s="28">
        <f t="shared" si="4"/>
        <v>3.0864197530864196E-3</v>
      </c>
      <c r="J19" s="39">
        <f t="shared" si="5"/>
        <v>0.28086419753086417</v>
      </c>
      <c r="K19" s="12"/>
      <c r="M19" t="s">
        <v>59</v>
      </c>
      <c r="N19" s="20">
        <f>B19-'Version 3 (GI3) on-site'!B19</f>
        <v>0</v>
      </c>
      <c r="O19" s="20">
        <f>C19-'Version 3 (GI3) on-site'!C19</f>
        <v>-9.4135802469135811E-3</v>
      </c>
      <c r="P19" s="20">
        <f>D19-'Version 3 (GI3) on-site'!D19</f>
        <v>-2.2106481481481484E-2</v>
      </c>
      <c r="Q19" s="20">
        <f>E19-'Version 3 (GI3) on-site'!E19</f>
        <v>7.9552469135802467E-2</v>
      </c>
      <c r="R19" s="20">
        <f>F19-'Version 3 (GI3) on-site'!F19</f>
        <v>3.3179012345679007E-2</v>
      </c>
      <c r="S19" s="20">
        <f>G19-'Version 3 (GI3) on-site'!G19</f>
        <v>1.5316358024691357E-2</v>
      </c>
      <c r="T19" s="20">
        <f>H19-'Version 3 (GI3) on-site'!H19</f>
        <v>-6.2500000000000003E-3</v>
      </c>
      <c r="U19" s="20">
        <f>I19-'Version 3 (GI3) on-site'!I19</f>
        <v>3.0864197530864196E-3</v>
      </c>
      <c r="V19" s="12">
        <f t="shared" si="6"/>
        <v>9.3364197530864182E-2</v>
      </c>
      <c r="X19" t="s">
        <v>206</v>
      </c>
      <c r="Y19" s="35">
        <f>B24+C24+D24</f>
        <v>0.23456790123456789</v>
      </c>
      <c r="Z19" s="35">
        <f>J23+J22+J21</f>
        <v>0.1728395061728395</v>
      </c>
      <c r="AA19" s="35">
        <f t="shared" si="7"/>
        <v>6.1728395061728392E-2</v>
      </c>
      <c r="AD19" t="s">
        <v>206</v>
      </c>
      <c r="AE19" s="35">
        <f t="shared" si="8"/>
        <v>0.23456790123456789</v>
      </c>
      <c r="AF19" s="35">
        <f>J16+J17+J18</f>
        <v>0.29938271604938271</v>
      </c>
      <c r="AG19" s="35">
        <f t="shared" si="9"/>
        <v>6.4814814814814825E-2</v>
      </c>
      <c r="AJ19">
        <v>0.01</v>
      </c>
      <c r="AK19">
        <v>1.63</v>
      </c>
      <c r="AM19">
        <f>AL17*AK19</f>
        <v>0.25612978962979382</v>
      </c>
    </row>
    <row r="20" spans="1:39" x14ac:dyDescent="0.25">
      <c r="A20" t="s">
        <v>60</v>
      </c>
      <c r="B20" s="20">
        <f t="shared" si="4"/>
        <v>9.2592592592592587E-3</v>
      </c>
      <c r="C20" s="20">
        <f t="shared" si="4"/>
        <v>1.5432098765432098E-2</v>
      </c>
      <c r="D20" s="20">
        <f t="shared" si="4"/>
        <v>4.0123456790123455E-2</v>
      </c>
      <c r="E20" s="20">
        <f t="shared" si="4"/>
        <v>0.12345679012345678</v>
      </c>
      <c r="F20" s="20">
        <f t="shared" si="4"/>
        <v>2.4691358024691357E-2</v>
      </c>
      <c r="G20" s="20">
        <f t="shared" si="4"/>
        <v>2.4691358024691357E-2</v>
      </c>
      <c r="H20" s="20">
        <f t="shared" si="4"/>
        <v>9.2592592592592587E-3</v>
      </c>
      <c r="I20" s="28">
        <f t="shared" si="4"/>
        <v>0</v>
      </c>
      <c r="J20" s="39">
        <f t="shared" si="5"/>
        <v>0.24691358024691357</v>
      </c>
      <c r="K20" s="12"/>
      <c r="M20" t="s">
        <v>60</v>
      </c>
      <c r="N20" s="20">
        <f>B20-'Version 3 (GI3) on-site'!B20</f>
        <v>6.1342592592592586E-3</v>
      </c>
      <c r="O20" s="20">
        <f>C20-'Version 3 (GI3) on-site'!C20</f>
        <v>9.1820987654320976E-3</v>
      </c>
      <c r="P20" s="20">
        <f>D20-'Version 3 (GI3) on-site'!D20</f>
        <v>-2.8626543209876551E-2</v>
      </c>
      <c r="Q20" s="20">
        <f>E20-'Version 3 (GI3) on-site'!E20</f>
        <v>-4.8418209876543217E-2</v>
      </c>
      <c r="R20" s="20">
        <f>F20-'Version 3 (GI3) on-site'!F20</f>
        <v>-6.5586419753086433E-3</v>
      </c>
      <c r="S20" s="20">
        <f>G20-'Version 3 (GI3) on-site'!G20</f>
        <v>1.2191358024691356E-2</v>
      </c>
      <c r="T20" s="20">
        <f>H20-'Version 3 (GI3) on-site'!H20</f>
        <v>6.1342592592592586E-3</v>
      </c>
      <c r="U20" s="20">
        <f>I20-'Version 3 (GI3) on-site'!I20</f>
        <v>-3.1250000000000002E-3</v>
      </c>
      <c r="V20" s="12">
        <f t="shared" si="6"/>
        <v>-5.308641975308645E-2</v>
      </c>
      <c r="X20" t="s">
        <v>207</v>
      </c>
      <c r="Y20" s="35">
        <f>B24+C24+D24+E24</f>
        <v>0.60802469135802473</v>
      </c>
      <c r="Z20" s="35">
        <f>J23+J22+J21+J20</f>
        <v>0.41975308641975306</v>
      </c>
      <c r="AA20" s="35">
        <f t="shared" si="7"/>
        <v>0.18827160493827166</v>
      </c>
      <c r="AD20" t="s">
        <v>207</v>
      </c>
      <c r="AE20" s="35">
        <f t="shared" si="8"/>
        <v>0.60802469135802473</v>
      </c>
      <c r="AF20" s="35">
        <f>J16+J17+J18+J19</f>
        <v>0.58024691358024683</v>
      </c>
      <c r="AG20" s="35">
        <f t="shared" si="9"/>
        <v>2.7777777777777901E-2</v>
      </c>
    </row>
    <row r="21" spans="1:39" x14ac:dyDescent="0.25">
      <c r="A21" t="s">
        <v>62</v>
      </c>
      <c r="B21" s="20">
        <f t="shared" si="4"/>
        <v>0</v>
      </c>
      <c r="C21" s="20">
        <f t="shared" si="4"/>
        <v>0</v>
      </c>
      <c r="D21" s="20">
        <f t="shared" si="4"/>
        <v>3.7037037037037035E-2</v>
      </c>
      <c r="E21" s="20">
        <f t="shared" si="4"/>
        <v>3.3950617283950615E-2</v>
      </c>
      <c r="F21" s="20">
        <f t="shared" si="4"/>
        <v>2.4691358024691357E-2</v>
      </c>
      <c r="G21" s="20">
        <f t="shared" si="4"/>
        <v>1.5432098765432098E-2</v>
      </c>
      <c r="H21" s="20">
        <f t="shared" si="4"/>
        <v>0</v>
      </c>
      <c r="I21" s="28">
        <f t="shared" si="4"/>
        <v>0</v>
      </c>
      <c r="J21" s="39">
        <f t="shared" si="5"/>
        <v>0.1111111111111111</v>
      </c>
      <c r="K21" s="12"/>
      <c r="M21" t="s">
        <v>62</v>
      </c>
      <c r="N21" s="20">
        <f>B21-'Version 3 (GI3) on-site'!B21</f>
        <v>0</v>
      </c>
      <c r="O21" s="20">
        <f>C21-'Version 3 (GI3) on-site'!C21</f>
        <v>-6.2500000000000003E-3</v>
      </c>
      <c r="P21" s="20">
        <f>D21-'Version 3 (GI3) on-site'!D21</f>
        <v>-3.1712962962962971E-2</v>
      </c>
      <c r="Q21" s="20">
        <f>E21-'Version 3 (GI3) on-site'!E21</f>
        <v>-1.9174382716049383E-2</v>
      </c>
      <c r="R21" s="20">
        <f>F21-'Version 3 (GI3) on-site'!F21</f>
        <v>1.2191358024691356E-2</v>
      </c>
      <c r="S21" s="20">
        <f>G21-'Version 3 (GI3) on-site'!G21</f>
        <v>1.2307098765432099E-2</v>
      </c>
      <c r="T21" s="20">
        <f>H21-'Version 3 (GI3) on-site'!H21</f>
        <v>-3.1250000000000002E-3</v>
      </c>
      <c r="U21" s="20">
        <f>I21-'Version 3 (GI3) on-site'!I21</f>
        <v>0</v>
      </c>
      <c r="V21" s="12">
        <f t="shared" si="6"/>
        <v>-3.5763888888888901E-2</v>
      </c>
      <c r="X21" t="s">
        <v>208</v>
      </c>
      <c r="Y21" s="35">
        <f>B24+C24+D24+E24+F24</f>
        <v>0.80555555555555558</v>
      </c>
      <c r="Z21" s="35">
        <f>J23+J22+J21+J20+J19</f>
        <v>0.70061728395061729</v>
      </c>
      <c r="AA21" s="35">
        <f t="shared" si="7"/>
        <v>0.10493827160493829</v>
      </c>
      <c r="AD21" t="s">
        <v>208</v>
      </c>
      <c r="AE21" s="35">
        <f t="shared" si="8"/>
        <v>0.80555555555555558</v>
      </c>
      <c r="AF21" s="35">
        <f>J16+J17+J18+J19+J20</f>
        <v>0.82716049382716039</v>
      </c>
      <c r="AG21" s="35">
        <f t="shared" si="9"/>
        <v>2.1604938271604812E-2</v>
      </c>
      <c r="AJ21" t="s">
        <v>147</v>
      </c>
    </row>
    <row r="22" spans="1:39" x14ac:dyDescent="0.25">
      <c r="A22" t="s">
        <v>63</v>
      </c>
      <c r="B22" s="20">
        <f t="shared" si="4"/>
        <v>3.0864197530864196E-3</v>
      </c>
      <c r="C22" s="20">
        <f t="shared" si="4"/>
        <v>1.8518518518518517E-2</v>
      </c>
      <c r="D22" s="20">
        <f t="shared" si="4"/>
        <v>1.2345679012345678E-2</v>
      </c>
      <c r="E22" s="20">
        <f t="shared" si="4"/>
        <v>0</v>
      </c>
      <c r="F22" s="20">
        <f t="shared" si="4"/>
        <v>6.1728395061728392E-3</v>
      </c>
      <c r="G22" s="20">
        <f t="shared" si="4"/>
        <v>9.2592592592592587E-3</v>
      </c>
      <c r="H22" s="20">
        <f t="shared" si="4"/>
        <v>3.0864197530864196E-3</v>
      </c>
      <c r="I22" s="28">
        <f t="shared" si="4"/>
        <v>0</v>
      </c>
      <c r="J22" s="39">
        <f t="shared" si="5"/>
        <v>5.2469135802469133E-2</v>
      </c>
      <c r="K22" s="12"/>
      <c r="M22" t="s">
        <v>63</v>
      </c>
      <c r="N22" s="20">
        <f>B22-'Version 3 (GI3) on-site'!B22</f>
        <v>-3.8580246913580592E-5</v>
      </c>
      <c r="O22" s="20">
        <f>C22-'Version 3 (GI3) on-site'!C22</f>
        <v>-2.3148148148148182E-4</v>
      </c>
      <c r="P22" s="20">
        <f>D22-'Version 3 (GI3) on-site'!D22</f>
        <v>-6.404320987654321E-3</v>
      </c>
      <c r="Q22" s="20">
        <f>E22-'Version 3 (GI3) on-site'!E22</f>
        <v>-1.2500000000000001E-2</v>
      </c>
      <c r="R22" s="20">
        <f>F22-'Version 3 (GI3) on-site'!F22</f>
        <v>3.047839506172839E-3</v>
      </c>
      <c r="S22" s="20">
        <f>G22-'Version 3 (GI3) on-site'!G22</f>
        <v>9.2592592592592587E-3</v>
      </c>
      <c r="T22" s="20">
        <f>H22-'Version 3 (GI3) on-site'!H22</f>
        <v>3.0864197530864196E-3</v>
      </c>
      <c r="U22" s="20">
        <f>I22-'Version 3 (GI3) on-site'!I22</f>
        <v>0</v>
      </c>
      <c r="V22" s="12">
        <f t="shared" si="6"/>
        <v>-3.780864197530865E-3</v>
      </c>
      <c r="X22" t="s">
        <v>209</v>
      </c>
      <c r="Y22" s="35">
        <f>B24+C24+D24+E24+F24+G24</f>
        <v>0.96296296296296302</v>
      </c>
      <c r="Z22" s="35">
        <f>J23+J22+J21+J20+J19+J18</f>
        <v>0.91975308641975306</v>
      </c>
      <c r="AA22" s="35">
        <f t="shared" si="7"/>
        <v>4.3209876543209957E-2</v>
      </c>
      <c r="AD22" t="s">
        <v>209</v>
      </c>
      <c r="AE22" s="35">
        <f t="shared" si="8"/>
        <v>0.96296296296296302</v>
      </c>
      <c r="AF22" s="35">
        <f>J16+J17+J18+J19+J20+J21</f>
        <v>0.93827160493827155</v>
      </c>
      <c r="AG22" s="35">
        <f t="shared" si="9"/>
        <v>2.4691358024691468E-2</v>
      </c>
      <c r="AI22" t="s">
        <v>186</v>
      </c>
      <c r="AJ22">
        <v>81</v>
      </c>
    </row>
    <row r="23" spans="1:39" x14ac:dyDescent="0.25">
      <c r="A23" t="s">
        <v>64</v>
      </c>
      <c r="B23" s="20">
        <f t="shared" si="4"/>
        <v>3.0864197530864196E-3</v>
      </c>
      <c r="C23" s="20">
        <f t="shared" si="4"/>
        <v>0</v>
      </c>
      <c r="D23" s="20">
        <f t="shared" si="4"/>
        <v>3.0864197530864196E-3</v>
      </c>
      <c r="E23" s="20">
        <f t="shared" si="4"/>
        <v>3.0864197530864196E-3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8">
        <f t="shared" si="4"/>
        <v>0</v>
      </c>
      <c r="J23" s="39">
        <f t="shared" si="5"/>
        <v>9.2592592592592587E-3</v>
      </c>
      <c r="K23" s="12"/>
      <c r="M23" t="s">
        <v>64</v>
      </c>
      <c r="N23" s="20">
        <f>B23-'Version 3 (GI3) on-site'!B23</f>
        <v>-9.4135802469135811E-3</v>
      </c>
      <c r="O23" s="20">
        <f>C23-'Version 3 (GI3) on-site'!C23</f>
        <v>0</v>
      </c>
      <c r="P23" s="20">
        <f>D23-'Version 3 (GI3) on-site'!D23</f>
        <v>-3.1635802469135808E-3</v>
      </c>
      <c r="Q23" s="20">
        <f>E23-'Version 3 (GI3) on-site'!E23</f>
        <v>-3.8580246913580592E-5</v>
      </c>
      <c r="R23" s="20">
        <f>F23-'Version 3 (GI3) on-site'!F23</f>
        <v>0</v>
      </c>
      <c r="S23" s="20">
        <f>G23-'Version 3 (GI3) on-site'!G23</f>
        <v>0</v>
      </c>
      <c r="T23" s="20">
        <f>H23-'Version 3 (GI3) on-site'!H23</f>
        <v>0</v>
      </c>
      <c r="U23" s="20">
        <f>I23-'Version 3 (GI3) on-site'!I23</f>
        <v>0</v>
      </c>
      <c r="V23" s="12">
        <f t="shared" si="6"/>
        <v>-1.2615740740740743E-2</v>
      </c>
      <c r="X23" t="s">
        <v>210</v>
      </c>
      <c r="Y23" s="35">
        <f>B24+C24+D24+E24+F24+G24+H24</f>
        <v>0.98765432098765438</v>
      </c>
      <c r="Z23" s="35">
        <f>J23+J22+J21+J20+J19+J18+J17</f>
        <v>0.97530864197530864</v>
      </c>
      <c r="AA23" s="35">
        <f t="shared" si="7"/>
        <v>1.2345679012345734E-2</v>
      </c>
      <c r="AD23" t="s">
        <v>210</v>
      </c>
      <c r="AE23" s="35">
        <f t="shared" si="8"/>
        <v>0.98765432098765438</v>
      </c>
      <c r="AF23" s="35">
        <f>J16+J17+J18+J19+J20+J21+J22</f>
        <v>0.9907407407407407</v>
      </c>
      <c r="AG23" s="35">
        <f t="shared" si="9"/>
        <v>3.0864197530863224E-3</v>
      </c>
      <c r="AI23" t="s">
        <v>186</v>
      </c>
      <c r="AJ23">
        <v>81</v>
      </c>
    </row>
    <row r="24" spans="1:39" x14ac:dyDescent="0.25">
      <c r="A24" s="5" t="s">
        <v>91</v>
      </c>
      <c r="B24" s="21">
        <f>SUM(B16:B23)</f>
        <v>1.5432098765432098E-2</v>
      </c>
      <c r="C24" s="21">
        <f t="shared" ref="C24:I24" si="10">SUM(C16:C23)</f>
        <v>4.9382716049382713E-2</v>
      </c>
      <c r="D24" s="21">
        <f t="shared" si="10"/>
        <v>0.16975308641975306</v>
      </c>
      <c r="E24" s="21">
        <f t="shared" si="10"/>
        <v>0.37345679012345678</v>
      </c>
      <c r="F24" s="21">
        <f t="shared" si="10"/>
        <v>0.19753086419753085</v>
      </c>
      <c r="G24" s="21">
        <f t="shared" si="10"/>
        <v>0.15740740740740738</v>
      </c>
      <c r="H24" s="21">
        <f t="shared" si="10"/>
        <v>2.4691358024691357E-2</v>
      </c>
      <c r="I24" s="29">
        <f t="shared" si="10"/>
        <v>1.2345679012345678E-2</v>
      </c>
      <c r="J24" s="40">
        <f>SUM(B24:I24)</f>
        <v>1</v>
      </c>
      <c r="K24" s="4"/>
      <c r="M24" s="5" t="s">
        <v>91</v>
      </c>
      <c r="N24" s="13">
        <f t="shared" ref="N24:U24" si="11">SUM(N16:N23)</f>
        <v>-6.4429012345679033E-3</v>
      </c>
      <c r="O24" s="13">
        <f t="shared" si="11"/>
        <v>-1.3117283950617287E-2</v>
      </c>
      <c r="P24" s="13">
        <f t="shared" si="11"/>
        <v>-8.0246913580246937E-2</v>
      </c>
      <c r="Q24" s="13">
        <f t="shared" si="11"/>
        <v>-2.9668209876543221E-2</v>
      </c>
      <c r="R24" s="13">
        <f t="shared" si="11"/>
        <v>4.4405864197530856E-2</v>
      </c>
      <c r="S24" s="13">
        <f t="shared" si="11"/>
        <v>0.10428240740740741</v>
      </c>
      <c r="T24" s="13">
        <f t="shared" si="11"/>
        <v>-6.5586419753086451E-3</v>
      </c>
      <c r="U24" s="13">
        <f t="shared" si="11"/>
        <v>-1.265432098765432E-2</v>
      </c>
      <c r="V24" s="19">
        <f>SUM(N24:U24)</f>
        <v>-4.6837533851373792E-17</v>
      </c>
      <c r="X24" t="s">
        <v>211</v>
      </c>
      <c r="Y24" s="35">
        <f>B24+C24+D24+E24+F24+G24+H24+I24</f>
        <v>1</v>
      </c>
      <c r="Z24" s="35">
        <f>J23+J22+J21+J20+J19+J18+J17+J16</f>
        <v>1</v>
      </c>
      <c r="AA24" s="35">
        <f t="shared" si="7"/>
        <v>0</v>
      </c>
      <c r="AD24" t="s">
        <v>211</v>
      </c>
      <c r="AE24" s="35">
        <f t="shared" si="8"/>
        <v>1</v>
      </c>
      <c r="AF24" s="35">
        <f>J16+J17+J18+J19+J20+J21+J22+J23</f>
        <v>1</v>
      </c>
      <c r="AG24" s="35">
        <f t="shared" si="9"/>
        <v>0</v>
      </c>
    </row>
    <row r="25" spans="1:39" x14ac:dyDescent="0.25">
      <c r="A25" s="5" t="s">
        <v>88</v>
      </c>
      <c r="B25" s="6" t="s">
        <v>64</v>
      </c>
      <c r="C25" s="6" t="s">
        <v>63</v>
      </c>
      <c r="D25" s="6" t="s">
        <v>62</v>
      </c>
      <c r="E25" s="6" t="s">
        <v>60</v>
      </c>
      <c r="F25" s="6" t="s">
        <v>59</v>
      </c>
      <c r="G25" s="6" t="s">
        <v>57</v>
      </c>
      <c r="H25" s="6" t="s">
        <v>89</v>
      </c>
      <c r="I25" s="33" t="s">
        <v>55</v>
      </c>
      <c r="J25" s="4"/>
      <c r="K25" s="4"/>
      <c r="M25" s="5" t="s">
        <v>88</v>
      </c>
      <c r="N25" s="6" t="s">
        <v>64</v>
      </c>
      <c r="O25" s="6" t="s">
        <v>63</v>
      </c>
      <c r="P25" s="6" t="s">
        <v>62</v>
      </c>
      <c r="Q25" s="6" t="s">
        <v>60</v>
      </c>
      <c r="R25" s="6" t="s">
        <v>59</v>
      </c>
      <c r="S25" s="6" t="s">
        <v>57</v>
      </c>
      <c r="T25" s="6" t="s">
        <v>89</v>
      </c>
      <c r="U25" s="6" t="s">
        <v>55</v>
      </c>
      <c r="V25" s="4"/>
      <c r="X25" s="35"/>
      <c r="Y25" s="35"/>
      <c r="Z25" s="35"/>
      <c r="AA25" s="35">
        <f>MAX(AA17:AA24)</f>
        <v>0.18827160493827166</v>
      </c>
      <c r="AD25" s="35"/>
      <c r="AE25" s="35"/>
      <c r="AF25" s="35"/>
      <c r="AG25" s="35">
        <f t="shared" ref="AG25" si="12">MAX(AG17:AG24)</f>
        <v>6.4814814814814825E-2</v>
      </c>
    </row>
    <row r="26" spans="1:39" x14ac:dyDescent="0.25">
      <c r="A26" s="8"/>
      <c r="B26" s="7"/>
      <c r="C26" s="7"/>
      <c r="D26" s="7"/>
      <c r="E26" s="7"/>
      <c r="F26" s="7"/>
      <c r="G26" s="7"/>
      <c r="H26" s="7"/>
      <c r="I26" s="54"/>
      <c r="J26" s="7"/>
      <c r="K26" s="7"/>
    </row>
    <row r="27" spans="1:39" x14ac:dyDescent="0.25">
      <c r="A27" s="8" t="s">
        <v>103</v>
      </c>
      <c r="B27" s="7"/>
      <c r="C27" s="7"/>
      <c r="D27" s="7"/>
      <c r="E27" s="7"/>
      <c r="F27" s="7"/>
      <c r="G27" s="8" t="s">
        <v>104</v>
      </c>
      <c r="H27" s="7"/>
      <c r="I27" s="54"/>
      <c r="J27" s="7"/>
      <c r="K27" s="7"/>
    </row>
    <row r="28" spans="1:39" x14ac:dyDescent="0.25">
      <c r="A28" s="8" t="s">
        <v>67</v>
      </c>
      <c r="B28" s="7" t="s">
        <v>68</v>
      </c>
      <c r="C28" s="7" t="s">
        <v>69</v>
      </c>
      <c r="D28" s="7" t="s">
        <v>70</v>
      </c>
      <c r="E28" s="7" t="s">
        <v>69</v>
      </c>
      <c r="F28" s="7"/>
      <c r="G28" s="8" t="s">
        <v>102</v>
      </c>
      <c r="H28" s="7" t="s">
        <v>68</v>
      </c>
      <c r="I28" s="54" t="s">
        <v>69</v>
      </c>
      <c r="J28" s="7" t="s">
        <v>70</v>
      </c>
      <c r="K28" s="7" t="s">
        <v>69</v>
      </c>
      <c r="M28" s="37" t="s">
        <v>181</v>
      </c>
      <c r="S28" t="s">
        <v>153</v>
      </c>
    </row>
    <row r="29" spans="1:39" x14ac:dyDescent="0.25">
      <c r="A29" t="s">
        <v>71</v>
      </c>
      <c r="B29">
        <f>J11</f>
        <v>324</v>
      </c>
      <c r="C29" s="9">
        <f>B29/B29</f>
        <v>1</v>
      </c>
      <c r="D29">
        <v>64</v>
      </c>
      <c r="E29" s="9">
        <f>D29/D29</f>
        <v>1</v>
      </c>
      <c r="G29" t="s">
        <v>71</v>
      </c>
      <c r="H29">
        <f>J11</f>
        <v>324</v>
      </c>
      <c r="I29" s="28">
        <f t="shared" ref="I29:I39" si="13">H29/$H$29</f>
        <v>1</v>
      </c>
      <c r="J29">
        <v>64</v>
      </c>
      <c r="K29" s="9">
        <f>J29/J29</f>
        <v>1</v>
      </c>
      <c r="M29" t="s">
        <v>160</v>
      </c>
      <c r="N29" t="s">
        <v>182</v>
      </c>
      <c r="O29" t="s">
        <v>178</v>
      </c>
      <c r="P29" t="s">
        <v>39</v>
      </c>
      <c r="S29" t="s">
        <v>145</v>
      </c>
      <c r="T29" t="s">
        <v>146</v>
      </c>
      <c r="U29" t="s">
        <v>150</v>
      </c>
    </row>
    <row r="30" spans="1:39" x14ac:dyDescent="0.25">
      <c r="A30" t="s">
        <v>66</v>
      </c>
      <c r="B30">
        <f>B3+C3+B4</f>
        <v>1</v>
      </c>
      <c r="C30" s="11">
        <f t="shared" ref="C30:C39" si="14">B30/B$29</f>
        <v>3.0864197530864196E-3</v>
      </c>
      <c r="D30">
        <v>3</v>
      </c>
      <c r="E30" s="9">
        <f>D30/D$29</f>
        <v>4.6875E-2</v>
      </c>
      <c r="G30" t="s">
        <v>116</v>
      </c>
      <c r="H30">
        <f>B3</f>
        <v>0</v>
      </c>
      <c r="I30" s="28">
        <f t="shared" si="13"/>
        <v>0</v>
      </c>
      <c r="J30">
        <v>1</v>
      </c>
      <c r="K30" s="9">
        <f t="shared" ref="K30:K39" si="15">J30/J$29</f>
        <v>1.5625E-2</v>
      </c>
      <c r="M30" t="s">
        <v>6</v>
      </c>
      <c r="N30" s="35">
        <f>'Version 3 (GI3) on-site'!B24</f>
        <v>2.1875000000000002E-2</v>
      </c>
      <c r="O30" s="35">
        <f>$B$24</f>
        <v>1.5432098765432098E-2</v>
      </c>
      <c r="P30" s="35">
        <f t="shared" ref="P30:P37" si="16">ABS(N30-O30)</f>
        <v>6.4429012345679042E-3</v>
      </c>
      <c r="S30">
        <v>0.1</v>
      </c>
      <c r="T30">
        <v>1.22</v>
      </c>
      <c r="U30">
        <f>SQRT((S35+S36)/(S35*S36))</f>
        <v>0.15762512176790119</v>
      </c>
      <c r="V30">
        <f>PRODUCT(U30, T30)</f>
        <v>0.19230264855683946</v>
      </c>
    </row>
    <row r="31" spans="1:39" x14ac:dyDescent="0.25">
      <c r="A31" t="s">
        <v>72</v>
      </c>
      <c r="B31">
        <f>B3+B4+C3+C4+C5+D4+D5+D6+E5+E6+E7+F6</f>
        <v>163</v>
      </c>
      <c r="C31" s="11">
        <f t="shared" si="14"/>
        <v>0.50308641975308643</v>
      </c>
      <c r="D31">
        <v>12</v>
      </c>
      <c r="E31" s="9">
        <f t="shared" ref="E31:E39" si="17">D31/D$29</f>
        <v>0.1875</v>
      </c>
      <c r="G31" t="s">
        <v>117</v>
      </c>
      <c r="H31">
        <f>B3+C4+D5+E6</f>
        <v>60</v>
      </c>
      <c r="I31" s="28">
        <f t="shared" si="13"/>
        <v>0.18518518518518517</v>
      </c>
      <c r="J31">
        <v>4</v>
      </c>
      <c r="K31" s="9">
        <f t="shared" si="15"/>
        <v>6.25E-2</v>
      </c>
      <c r="M31" t="s">
        <v>7</v>
      </c>
      <c r="N31" s="35">
        <f>'Version 3 (GI3) on-site'!B24+'Version 3 (GI3) on-site'!C24</f>
        <v>8.4375000000000006E-2</v>
      </c>
      <c r="O31" s="35">
        <f>$B$24+$C$24</f>
        <v>6.4814814814814811E-2</v>
      </c>
      <c r="P31" s="35">
        <f t="shared" si="16"/>
        <v>1.9560185185185194E-2</v>
      </c>
      <c r="S31">
        <v>0.05</v>
      </c>
      <c r="T31">
        <v>1.36</v>
      </c>
      <c r="V31">
        <f>U30*T31</f>
        <v>0.21437016560434563</v>
      </c>
    </row>
    <row r="32" spans="1:39" x14ac:dyDescent="0.25">
      <c r="A32" t="s">
        <v>73</v>
      </c>
      <c r="B32">
        <f>SUM(B3:B7, C3:C7, D3:D7, E3:E7, F3:F6)</f>
        <v>206</v>
      </c>
      <c r="C32" s="11">
        <f t="shared" si="14"/>
        <v>0.63580246913580252</v>
      </c>
      <c r="D32">
        <v>24</v>
      </c>
      <c r="E32" s="9">
        <f t="shared" si="17"/>
        <v>0.375</v>
      </c>
      <c r="G32" t="s">
        <v>118</v>
      </c>
      <c r="H32">
        <f>SUM(B3:B6) + SUM(C3:C6) + SUM(D3:D6) + SUM(E3:E6)</f>
        <v>99</v>
      </c>
      <c r="I32" s="28">
        <f t="shared" si="13"/>
        <v>0.30555555555555558</v>
      </c>
      <c r="J32">
        <v>16</v>
      </c>
      <c r="K32" s="9">
        <f t="shared" si="15"/>
        <v>0.25</v>
      </c>
      <c r="M32" t="s">
        <v>8</v>
      </c>
      <c r="N32" s="35">
        <f>'Version 3 (GI3) on-site'!B24+'Version 3 (GI3) on-site'!C24+'Version 3 (GI3) on-site'!D24</f>
        <v>0.33437499999999998</v>
      </c>
      <c r="O32" s="35">
        <f>$B$24+$C$24+$D$24</f>
        <v>0.23456790123456789</v>
      </c>
      <c r="P32" s="35">
        <f t="shared" si="16"/>
        <v>9.980709876543209E-2</v>
      </c>
      <c r="S32">
        <v>0.01</v>
      </c>
      <c r="T32">
        <v>1.63</v>
      </c>
      <c r="V32">
        <f>U30*T32</f>
        <v>0.25692894848167891</v>
      </c>
    </row>
    <row r="33" spans="1:25" x14ac:dyDescent="0.25">
      <c r="A33" t="s">
        <v>74</v>
      </c>
      <c r="B33">
        <f>SUM(B3:B10, C3:C9, D3:D8, E3:E7, F3:F6, G3:G5, H3:H4, I3)</f>
        <v>257</v>
      </c>
      <c r="C33" s="11">
        <f t="shared" si="14"/>
        <v>0.79320987654320985</v>
      </c>
      <c r="D33">
        <v>36</v>
      </c>
      <c r="E33" s="9">
        <f t="shared" si="17"/>
        <v>0.5625</v>
      </c>
      <c r="G33" t="s">
        <v>119</v>
      </c>
      <c r="H33">
        <f>SUM(B3:B9)+SUM(C3:C8)+SUM(D3:D7)+SUM(E3:E6)+SUM(F3:F5)+SUM(G3:G4)+H3</f>
        <v>141</v>
      </c>
      <c r="I33" s="28">
        <f t="shared" si="13"/>
        <v>0.43518518518518517</v>
      </c>
      <c r="J33">
        <v>28</v>
      </c>
      <c r="K33" s="9">
        <f t="shared" si="15"/>
        <v>0.4375</v>
      </c>
      <c r="M33" t="s">
        <v>9</v>
      </c>
      <c r="N33" s="35">
        <f>'Version 3 (GI3) on-site'!B24+'Version 3 (GI3) on-site'!C24+'Version 3 (GI3) on-site'!D24+'Version 3 (GI3) on-site'!E24</f>
        <v>0.73749999999999993</v>
      </c>
      <c r="O33" s="35">
        <f>SUM($B$24:$E$24)</f>
        <v>0.60802469135802473</v>
      </c>
      <c r="P33" s="35">
        <f t="shared" si="16"/>
        <v>0.12947530864197521</v>
      </c>
      <c r="R33" t="s">
        <v>292</v>
      </c>
      <c r="T33">
        <f>MAX(P38:P48:P65)</f>
        <v>0.12947530864197521</v>
      </c>
      <c r="V33" s="35">
        <f>MAX(P38, P48, P65, P82)</f>
        <v>0.15462962962962956</v>
      </c>
    </row>
    <row r="34" spans="1:25" x14ac:dyDescent="0.25">
      <c r="A34" t="s">
        <v>75</v>
      </c>
      <c r="B34">
        <f>SUM(B9:B10, C8:C10, D7:D9, E6:E8, F5:F7, G4:G6, H3:H5, I3:I4)</f>
        <v>222</v>
      </c>
      <c r="C34" s="11">
        <f t="shared" si="14"/>
        <v>0.68518518518518523</v>
      </c>
      <c r="D34">
        <v>22</v>
      </c>
      <c r="E34" s="9">
        <f t="shared" si="17"/>
        <v>0.34375</v>
      </c>
      <c r="G34" t="s">
        <v>269</v>
      </c>
      <c r="H34" s="72">
        <f>B10+C9+D8+E7+F6+G5+H4+I3+E6+F7</f>
        <v>168</v>
      </c>
      <c r="I34" s="52">
        <f t="shared" si="13"/>
        <v>0.51851851851851849</v>
      </c>
      <c r="J34">
        <v>10</v>
      </c>
      <c r="K34" s="9">
        <f t="shared" si="15"/>
        <v>0.15625</v>
      </c>
      <c r="M34" t="s">
        <v>10</v>
      </c>
      <c r="N34" s="35">
        <f>'Version 3 (GI3) on-site'!B24+'Version 3 (GI3) on-site'!C24+'Version 3 (GI3) on-site'!D24+'Version 3 (GI3) on-site'!E24+'Version 3 (GI3) on-site'!F24</f>
        <v>0.890625</v>
      </c>
      <c r="O34" s="35">
        <f>SUM($B$24:$F$24)</f>
        <v>0.80555555555555558</v>
      </c>
      <c r="P34" s="35">
        <f t="shared" si="16"/>
        <v>8.506944444444442E-2</v>
      </c>
      <c r="S34" t="s">
        <v>147</v>
      </c>
    </row>
    <row r="35" spans="1:25" x14ac:dyDescent="0.25">
      <c r="A35" t="s">
        <v>76</v>
      </c>
      <c r="B35">
        <f>SUM(E6:E7, F6:F7)</f>
        <v>123</v>
      </c>
      <c r="C35" s="11">
        <f t="shared" si="14"/>
        <v>0.37962962962962965</v>
      </c>
      <c r="D35">
        <v>4</v>
      </c>
      <c r="E35" s="9">
        <f t="shared" si="17"/>
        <v>6.25E-2</v>
      </c>
      <c r="G35" t="s">
        <v>121</v>
      </c>
      <c r="H35">
        <f>E7+F6</f>
        <v>71</v>
      </c>
      <c r="I35" s="52">
        <f t="shared" si="13"/>
        <v>0.2191358024691358</v>
      </c>
      <c r="J35">
        <v>2</v>
      </c>
      <c r="K35" s="9">
        <f t="shared" si="15"/>
        <v>3.125E-2</v>
      </c>
      <c r="M35" t="s">
        <v>11</v>
      </c>
      <c r="N35" s="35">
        <f>'Version 3 (GI3) on-site'!B24+'Version 3 (GI3) on-site'!C24+'Version 3 (GI3) on-site'!D24+'Version 3 (GI3) on-site'!E24+'Version 3 (GI3) on-site'!F24+'Version 3 (GI3) on-site'!G24</f>
        <v>0.94374999999999998</v>
      </c>
      <c r="O35" s="35">
        <f>SUM($B$24:$G$24)</f>
        <v>0.96296296296296302</v>
      </c>
      <c r="P35" s="35">
        <f t="shared" si="16"/>
        <v>1.9212962962963043E-2</v>
      </c>
      <c r="R35" t="s">
        <v>183</v>
      </c>
      <c r="S35">
        <v>80</v>
      </c>
    </row>
    <row r="36" spans="1:25" x14ac:dyDescent="0.25">
      <c r="A36" t="s">
        <v>200</v>
      </c>
      <c r="B36">
        <f>I10</f>
        <v>0</v>
      </c>
      <c r="C36" s="11">
        <f t="shared" si="14"/>
        <v>0</v>
      </c>
      <c r="D36">
        <v>3</v>
      </c>
      <c r="E36" s="9">
        <f t="shared" si="17"/>
        <v>4.6875E-2</v>
      </c>
      <c r="G36" t="s">
        <v>198</v>
      </c>
      <c r="H36">
        <f>I10</f>
        <v>0</v>
      </c>
      <c r="I36" s="53">
        <f t="shared" si="13"/>
        <v>0</v>
      </c>
      <c r="J36">
        <v>1</v>
      </c>
      <c r="K36" s="9">
        <f t="shared" si="15"/>
        <v>1.5625E-2</v>
      </c>
      <c r="M36" t="s">
        <v>12</v>
      </c>
      <c r="N36" s="35">
        <f>'Version 3 (GI3) on-site'!B24+'Version 3 (GI3) on-site'!C24+'Version 3 (GI3) on-site'!D24+'Version 3 (GI3) on-site'!E24+'Version 3 (GI3) on-site'!F24+'Version 3 (GI3) on-site'!G24+'Version 3 (GI3) on-site'!H24</f>
        <v>0.97499999999999998</v>
      </c>
      <c r="O36" s="35">
        <f>SUM($B$24:$H$24)</f>
        <v>0.98765432098765438</v>
      </c>
      <c r="P36" s="35">
        <f t="shared" si="16"/>
        <v>1.2654320987654399E-2</v>
      </c>
      <c r="R36" t="s">
        <v>186</v>
      </c>
      <c r="S36">
        <v>81</v>
      </c>
    </row>
    <row r="37" spans="1:25" x14ac:dyDescent="0.25">
      <c r="A37" t="s">
        <v>134</v>
      </c>
      <c r="B37">
        <f>SUM(I9:I10,H8:H10, G7:G9, F6:F8,E7)</f>
        <v>104</v>
      </c>
      <c r="C37" s="11">
        <f t="shared" si="14"/>
        <v>0.32098765432098764</v>
      </c>
      <c r="D37">
        <v>12</v>
      </c>
      <c r="E37" s="9">
        <f t="shared" si="17"/>
        <v>0.1875</v>
      </c>
      <c r="G37" t="s">
        <v>1</v>
      </c>
      <c r="H37">
        <f>I10+H9+G8+F7</f>
        <v>14</v>
      </c>
      <c r="I37" s="53">
        <f t="shared" si="13"/>
        <v>4.3209876543209874E-2</v>
      </c>
      <c r="J37">
        <v>4</v>
      </c>
      <c r="K37" s="9">
        <f t="shared" si="15"/>
        <v>6.25E-2</v>
      </c>
      <c r="M37" t="s">
        <v>22</v>
      </c>
      <c r="N37" s="35">
        <f>'Version 3 (GI3) on-site'!B24+'Version 3 (GI3) on-site'!C24+'Version 3 (GI3) on-site'!D24+'Version 3 (GI3) on-site'!E24+'Version 3 (GI3) on-site'!F24+'Version 3 (GI3) on-site'!G24+'Version 3 (GI3) on-site'!H24+'Version 3 (GI3) on-site'!I24</f>
        <v>1</v>
      </c>
      <c r="O37" s="35">
        <f>SUM($B$24:$I$24)</f>
        <v>1</v>
      </c>
      <c r="P37" s="35">
        <f t="shared" si="16"/>
        <v>0</v>
      </c>
    </row>
    <row r="38" spans="1:25" x14ac:dyDescent="0.25">
      <c r="A38" t="s">
        <v>135</v>
      </c>
      <c r="B38">
        <f>SUM(E10:I10, E9:I9, E8:I8, E7:I7, F6:I6)</f>
        <v>130</v>
      </c>
      <c r="C38" s="11">
        <f t="shared" si="14"/>
        <v>0.40123456790123457</v>
      </c>
      <c r="D38">
        <v>24</v>
      </c>
      <c r="E38" s="9">
        <f t="shared" si="17"/>
        <v>0.375</v>
      </c>
      <c r="G38" t="s">
        <v>137</v>
      </c>
      <c r="H38">
        <f>SUM(F10:I10, F9:I9, F8:I8, F7:I7)</f>
        <v>38</v>
      </c>
      <c r="I38" s="53">
        <f t="shared" si="13"/>
        <v>0.11728395061728394</v>
      </c>
      <c r="J38">
        <v>16</v>
      </c>
      <c r="K38" s="9">
        <f t="shared" si="15"/>
        <v>0.25</v>
      </c>
      <c r="M38" t="s">
        <v>15</v>
      </c>
      <c r="P38" s="35">
        <f>MAX(P30:P37)</f>
        <v>0.12947530864197521</v>
      </c>
    </row>
    <row r="39" spans="1:25" x14ac:dyDescent="0.25">
      <c r="A39" t="s">
        <v>136</v>
      </c>
      <c r="B39">
        <f>SUM(B10:I10, C9:I9, D8:I8, E7:I7, F6:I6, G5:I5, H4:I4, I3)</f>
        <v>183</v>
      </c>
      <c r="C39" s="11">
        <f t="shared" si="14"/>
        <v>0.56481481481481477</v>
      </c>
      <c r="D39">
        <v>36</v>
      </c>
      <c r="E39" s="9">
        <f t="shared" si="17"/>
        <v>0.5625</v>
      </c>
      <c r="G39" t="s">
        <v>138</v>
      </c>
      <c r="H39">
        <f>SUM(C10:I10, D9:I9, E8:I8, F7:I7,G6:I6, H5:I5, I4)</f>
        <v>67</v>
      </c>
      <c r="I39" s="53">
        <f t="shared" si="13"/>
        <v>0.20679012345679013</v>
      </c>
      <c r="J39">
        <v>28</v>
      </c>
      <c r="K39" s="9">
        <f t="shared" si="15"/>
        <v>0.4375</v>
      </c>
      <c r="M39" t="s">
        <v>161</v>
      </c>
      <c r="U39" t="s">
        <v>244</v>
      </c>
    </row>
    <row r="40" spans="1:25" x14ac:dyDescent="0.25">
      <c r="C40" s="11"/>
      <c r="E40" s="9"/>
      <c r="I40" s="28"/>
      <c r="K40" s="9"/>
      <c r="M40" t="s">
        <v>93</v>
      </c>
      <c r="N40" s="35">
        <f>'Version 3 (GI3) on-site'!$J$16</f>
        <v>8.1250000000000003E-2</v>
      </c>
      <c r="O40" s="35">
        <f>$J$16</f>
        <v>2.4691358024691357E-2</v>
      </c>
      <c r="P40" s="35">
        <f>ABS(N40-O40)</f>
        <v>5.6558641975308646E-2</v>
      </c>
    </row>
    <row r="41" spans="1:25" x14ac:dyDescent="0.25">
      <c r="A41" t="s">
        <v>124</v>
      </c>
      <c r="B41">
        <f>B29-B35</f>
        <v>201</v>
      </c>
      <c r="C41" s="11">
        <v>1</v>
      </c>
      <c r="D41">
        <v>60</v>
      </c>
      <c r="E41" s="9">
        <v>1</v>
      </c>
      <c r="G41" t="s">
        <v>125</v>
      </c>
      <c r="H41">
        <f>H29-H35</f>
        <v>253</v>
      </c>
      <c r="I41" s="28">
        <v>1</v>
      </c>
      <c r="J41">
        <v>62</v>
      </c>
      <c r="K41" s="9">
        <v>1</v>
      </c>
      <c r="M41" t="s">
        <v>16</v>
      </c>
      <c r="N41" s="35">
        <f>'Version 3 (GI3) on-site'!$J$17+N40</f>
        <v>0.15625</v>
      </c>
      <c r="O41" s="35">
        <f>SUM($J$16:$J$17)</f>
        <v>8.0246913580246909E-2</v>
      </c>
      <c r="P41" s="35">
        <f t="shared" ref="P41:P47" si="18">ABS(N41-O41)</f>
        <v>7.6003086419753091E-2</v>
      </c>
      <c r="U41" t="s">
        <v>244</v>
      </c>
      <c r="V41" t="s">
        <v>165</v>
      </c>
      <c r="W41" t="s">
        <v>166</v>
      </c>
      <c r="X41" t="s">
        <v>167</v>
      </c>
      <c r="Y41" t="s">
        <v>179</v>
      </c>
    </row>
    <row r="42" spans="1:25" x14ac:dyDescent="0.25">
      <c r="A42" t="s">
        <v>80</v>
      </c>
      <c r="B42">
        <f>B34-B35</f>
        <v>99</v>
      </c>
      <c r="C42" s="11">
        <f>B42/B$41</f>
        <v>0.4925373134328358</v>
      </c>
      <c r="D42">
        <v>18</v>
      </c>
      <c r="E42" s="9">
        <f>D42/D$41</f>
        <v>0.3</v>
      </c>
      <c r="G42" t="s">
        <v>122</v>
      </c>
      <c r="H42">
        <f>H34-E7-F6</f>
        <v>97</v>
      </c>
      <c r="I42" s="28">
        <f>H42/$H$41</f>
        <v>0.38339920948616601</v>
      </c>
      <c r="J42">
        <v>6</v>
      </c>
      <c r="K42" s="9">
        <f>J42/J$41</f>
        <v>9.6774193548387094E-2</v>
      </c>
      <c r="M42" t="s">
        <v>17</v>
      </c>
      <c r="N42" s="35">
        <f>'Version 3 (GI3) on-site'!$J$18+N41</f>
        <v>0.28749999999999998</v>
      </c>
      <c r="O42" s="35">
        <f>SUM($J$16:$J$18)</f>
        <v>0.29938271604938271</v>
      </c>
      <c r="P42" s="35">
        <f t="shared" si="18"/>
        <v>1.1882716049382736E-2</v>
      </c>
      <c r="U42" t="s">
        <v>245</v>
      </c>
      <c r="V42">
        <v>0.08</v>
      </c>
      <c r="W42">
        <v>0.11</v>
      </c>
      <c r="X42">
        <v>0.12</v>
      </c>
      <c r="Y42">
        <v>0.12</v>
      </c>
    </row>
    <row r="43" spans="1:25" x14ac:dyDescent="0.25">
      <c r="C43" s="10"/>
      <c r="E43" s="9"/>
      <c r="M43" t="s">
        <v>18</v>
      </c>
      <c r="N43" s="35">
        <f>'Version 3 (GI3) on-site'!$J$19+N42</f>
        <v>0.47499999999999998</v>
      </c>
      <c r="O43" s="35">
        <f>SUM($J$16:$J$19)</f>
        <v>0.58024691358024683</v>
      </c>
      <c r="P43" s="35">
        <f t="shared" si="18"/>
        <v>0.10524691358024685</v>
      </c>
      <c r="U43" t="s">
        <v>246</v>
      </c>
      <c r="V43">
        <v>0.22</v>
      </c>
      <c r="W43">
        <v>0.2</v>
      </c>
      <c r="X43">
        <v>0.22</v>
      </c>
      <c r="Y43">
        <v>0.21</v>
      </c>
    </row>
    <row r="44" spans="1:25" x14ac:dyDescent="0.25">
      <c r="A44" t="s">
        <v>81</v>
      </c>
      <c r="B44">
        <f>B29-B34</f>
        <v>102</v>
      </c>
      <c r="C44" s="10">
        <f t="shared" ref="C44:C52" si="19">B44/B$44</f>
        <v>1</v>
      </c>
      <c r="D44">
        <v>42</v>
      </c>
      <c r="E44" s="9">
        <f t="shared" ref="E44:E52" si="20">D44/D$44</f>
        <v>1</v>
      </c>
      <c r="G44" t="s">
        <v>129</v>
      </c>
      <c r="H44">
        <f>H29-H34</f>
        <v>156</v>
      </c>
      <c r="I44" s="55">
        <f>H44/H$44</f>
        <v>1</v>
      </c>
      <c r="J44">
        <f>J29-J34</f>
        <v>54</v>
      </c>
      <c r="K44" s="9">
        <f t="shared" ref="K44:K52" si="21">J44/J$44</f>
        <v>1</v>
      </c>
      <c r="M44" t="s">
        <v>19</v>
      </c>
      <c r="N44" s="35">
        <f>'Version 3 (GI3) on-site'!$J$20+N43</f>
        <v>0.77499999999999991</v>
      </c>
      <c r="O44" s="35">
        <f>SUM($J$16:$J$20)</f>
        <v>0.82716049382716039</v>
      </c>
      <c r="P44" s="35">
        <f t="shared" si="18"/>
        <v>5.2160493827160481E-2</v>
      </c>
      <c r="U44" t="s">
        <v>247</v>
      </c>
      <c r="V44">
        <v>0.312</v>
      </c>
      <c r="W44">
        <v>0.31900000000000001</v>
      </c>
      <c r="X44">
        <v>0.33300000000000002</v>
      </c>
      <c r="Y44">
        <v>3.32E-2</v>
      </c>
    </row>
    <row r="45" spans="1:25" x14ac:dyDescent="0.25">
      <c r="A45" t="s">
        <v>82</v>
      </c>
      <c r="B45">
        <f>B30</f>
        <v>1</v>
      </c>
      <c r="C45" s="11">
        <f t="shared" si="19"/>
        <v>9.8039215686274508E-3</v>
      </c>
      <c r="D45">
        <v>3</v>
      </c>
      <c r="E45" s="9">
        <f t="shared" si="20"/>
        <v>7.1428571428571425E-2</v>
      </c>
      <c r="G45" t="s">
        <v>130</v>
      </c>
      <c r="H45">
        <f>H30</f>
        <v>0</v>
      </c>
      <c r="I45" s="55">
        <f>H45/H$44</f>
        <v>0</v>
      </c>
      <c r="J45">
        <v>1</v>
      </c>
      <c r="K45" s="9">
        <f t="shared" si="21"/>
        <v>1.8518518518518517E-2</v>
      </c>
      <c r="M45" t="s">
        <v>20</v>
      </c>
      <c r="N45" s="35">
        <f>'Version 3 (GI3) on-site'!$J$21+N44</f>
        <v>0.92187499999999989</v>
      </c>
      <c r="O45" s="35">
        <f>SUM($J$16:$J$21)</f>
        <v>0.93827160493827155</v>
      </c>
      <c r="P45" s="35">
        <f t="shared" si="18"/>
        <v>1.6396604938271664E-2</v>
      </c>
      <c r="U45" t="s">
        <v>248</v>
      </c>
      <c r="V45">
        <v>3.5000000000000003E-2</v>
      </c>
      <c r="W45">
        <v>4.5999999999999999E-2</v>
      </c>
      <c r="X45">
        <v>6.3E-2</v>
      </c>
      <c r="Y45">
        <v>5.6000000000000001E-2</v>
      </c>
    </row>
    <row r="46" spans="1:25" x14ac:dyDescent="0.25">
      <c r="A46" t="s">
        <v>77</v>
      </c>
      <c r="B46">
        <f>B31-(SUM(E6:E7,F6))</f>
        <v>48</v>
      </c>
      <c r="C46" s="11">
        <f t="shared" si="19"/>
        <v>0.47058823529411764</v>
      </c>
      <c r="D46">
        <v>9</v>
      </c>
      <c r="E46" s="9">
        <f t="shared" si="20"/>
        <v>0.21428571428571427</v>
      </c>
      <c r="G46" t="s">
        <v>131</v>
      </c>
      <c r="H46">
        <f>H31</f>
        <v>60</v>
      </c>
      <c r="I46" s="55">
        <f>H46/H$44</f>
        <v>0.38461538461538464</v>
      </c>
      <c r="J46">
        <v>4</v>
      </c>
      <c r="K46" s="9">
        <f t="shared" si="21"/>
        <v>7.407407407407407E-2</v>
      </c>
      <c r="M46" t="s">
        <v>21</v>
      </c>
      <c r="N46" s="35">
        <f>'Version 3 (GI3) on-site'!$J$22+N45</f>
        <v>0.97812499999999991</v>
      </c>
      <c r="O46" s="35">
        <f>SUM($J$16:$J$22)</f>
        <v>0.9907407407407407</v>
      </c>
      <c r="P46" s="35">
        <f t="shared" si="18"/>
        <v>1.2615740740740788E-2</v>
      </c>
    </row>
    <row r="47" spans="1:25" x14ac:dyDescent="0.25">
      <c r="A47" t="s">
        <v>78</v>
      </c>
      <c r="B47">
        <f>$B$32-SUM($D$7, $E$6:E$7, $F$5:$F$6)</f>
        <v>67</v>
      </c>
      <c r="C47" s="11">
        <f t="shared" si="19"/>
        <v>0.65686274509803921</v>
      </c>
      <c r="D47">
        <v>19</v>
      </c>
      <c r="E47" s="9">
        <f t="shared" si="20"/>
        <v>0.45238095238095238</v>
      </c>
      <c r="G47" t="s">
        <v>132</v>
      </c>
      <c r="H47">
        <f>H32</f>
        <v>99</v>
      </c>
      <c r="I47" s="55">
        <f t="shared" ref="I47:I52" si="22">H47/H$44</f>
        <v>0.63461538461538458</v>
      </c>
      <c r="J47">
        <v>16</v>
      </c>
      <c r="K47" s="9">
        <f t="shared" si="21"/>
        <v>0.29629629629629628</v>
      </c>
      <c r="M47" t="s">
        <v>23</v>
      </c>
      <c r="N47" s="35">
        <f>'Version 3 (GI3) on-site'!$J$23+N46</f>
        <v>0.99999999999999989</v>
      </c>
      <c r="O47" s="35">
        <f>SUM($J$16:$J$23)</f>
        <v>1</v>
      </c>
      <c r="P47" s="35">
        <f t="shared" si="18"/>
        <v>1.1102230246251565E-16</v>
      </c>
      <c r="U47" t="s">
        <v>250</v>
      </c>
      <c r="V47" t="s">
        <v>249</v>
      </c>
      <c r="W47" t="s">
        <v>249</v>
      </c>
      <c r="X47" t="s">
        <v>249</v>
      </c>
      <c r="Y47" t="s">
        <v>249</v>
      </c>
    </row>
    <row r="48" spans="1:25" x14ac:dyDescent="0.25">
      <c r="A48" t="s">
        <v>79</v>
      </c>
      <c r="B48">
        <f>B$33-SUM(B$9:B$10, C$8:C$9, D$7:D$8, E$6:E$7, F$5:F$6, G$4:G$5, H$3:H$4, I$3)</f>
        <v>68</v>
      </c>
      <c r="C48" s="11">
        <f t="shared" si="19"/>
        <v>0.66666666666666663</v>
      </c>
      <c r="D48">
        <v>21</v>
      </c>
      <c r="E48" s="9">
        <f t="shared" si="20"/>
        <v>0.5</v>
      </c>
      <c r="G48" t="s">
        <v>133</v>
      </c>
      <c r="H48">
        <f>H33</f>
        <v>141</v>
      </c>
      <c r="I48" s="55">
        <f t="shared" si="22"/>
        <v>0.90384615384615385</v>
      </c>
      <c r="J48">
        <v>28</v>
      </c>
      <c r="K48" s="9">
        <f t="shared" si="21"/>
        <v>0.51851851851851849</v>
      </c>
      <c r="M48" t="s">
        <v>15</v>
      </c>
      <c r="P48" s="35">
        <f>MAX(P40:P47)</f>
        <v>0.10524691358024685</v>
      </c>
      <c r="Q48" s="35"/>
    </row>
    <row r="49" spans="1:21" x14ac:dyDescent="0.25">
      <c r="A49" t="s">
        <v>201</v>
      </c>
      <c r="B49">
        <f>B36</f>
        <v>0</v>
      </c>
      <c r="C49" s="11">
        <f t="shared" si="19"/>
        <v>0</v>
      </c>
      <c r="D49">
        <v>3</v>
      </c>
      <c r="E49" s="9">
        <f t="shared" si="20"/>
        <v>7.1428571428571425E-2</v>
      </c>
      <c r="G49" t="s">
        <v>199</v>
      </c>
      <c r="H49">
        <v>0</v>
      </c>
      <c r="I49" s="55">
        <f t="shared" si="22"/>
        <v>0</v>
      </c>
      <c r="J49">
        <v>1</v>
      </c>
      <c r="K49" s="9">
        <f t="shared" si="21"/>
        <v>1.8518518518518517E-2</v>
      </c>
      <c r="M49" t="s">
        <v>162</v>
      </c>
    </row>
    <row r="50" spans="1:21" x14ac:dyDescent="0.25">
      <c r="A50" t="s">
        <v>139</v>
      </c>
      <c r="B50">
        <f>B37-SUM(F6:F7,E7)</f>
        <v>25</v>
      </c>
      <c r="C50" s="11">
        <f t="shared" si="19"/>
        <v>0.24509803921568626</v>
      </c>
      <c r="D50">
        <v>9</v>
      </c>
      <c r="E50" s="9">
        <f t="shared" si="20"/>
        <v>0.21428571428571427</v>
      </c>
      <c r="G50" t="s">
        <v>0</v>
      </c>
      <c r="H50">
        <f>I10+H9+G8+F7</f>
        <v>14</v>
      </c>
      <c r="I50" s="55">
        <f t="shared" si="22"/>
        <v>8.9743589743589744E-2</v>
      </c>
      <c r="J50">
        <v>4</v>
      </c>
      <c r="K50" s="9">
        <f t="shared" si="21"/>
        <v>7.407407407407407E-2</v>
      </c>
      <c r="M50" t="s">
        <v>24</v>
      </c>
      <c r="N50" s="35">
        <f>'Version 3 (GI3) on-site'!$B$16</f>
        <v>3.1250000000000002E-3</v>
      </c>
      <c r="O50" s="35">
        <f>$B$16</f>
        <v>0</v>
      </c>
      <c r="P50" s="35">
        <f>ABS(N50-O50)</f>
        <v>3.1250000000000002E-3</v>
      </c>
    </row>
    <row r="51" spans="1:21" x14ac:dyDescent="0.25">
      <c r="A51" t="s">
        <v>140</v>
      </c>
      <c r="B51">
        <f>SUM(E10:I10, E9:I9, F8:I8, G7:I7, H6:I6)</f>
        <v>32</v>
      </c>
      <c r="C51" s="11">
        <f t="shared" si="19"/>
        <v>0.31372549019607843</v>
      </c>
      <c r="D51">
        <v>19</v>
      </c>
      <c r="E51" s="9">
        <f t="shared" si="20"/>
        <v>0.45238095238095238</v>
      </c>
      <c r="G51" t="s">
        <v>143</v>
      </c>
      <c r="H51">
        <f>SUM(F7:I10)</f>
        <v>38</v>
      </c>
      <c r="I51" s="55">
        <f t="shared" si="22"/>
        <v>0.24358974358974358</v>
      </c>
      <c r="J51">
        <v>16</v>
      </c>
      <c r="K51" s="9">
        <f t="shared" si="21"/>
        <v>0.29629629629629628</v>
      </c>
      <c r="M51" t="s">
        <v>25</v>
      </c>
      <c r="N51" s="35">
        <f>N50+'Version 3 (GI3) on-site'!$B$17+'Version 3 (GI3) on-site'!$C$16</f>
        <v>1.2500000000000001E-2</v>
      </c>
      <c r="O51" s="35">
        <f>O50+B17+C16</f>
        <v>3.0864197530864196E-3</v>
      </c>
      <c r="P51" s="35">
        <f t="shared" ref="P51:P64" si="23">ABS(N51-O51)</f>
        <v>9.4135802469135811E-3</v>
      </c>
      <c r="R51" s="41"/>
    </row>
    <row r="52" spans="1:21" x14ac:dyDescent="0.25">
      <c r="A52" t="s">
        <v>141</v>
      </c>
      <c r="B52">
        <f>SUM(D10:I10, E9:I9, F8:I8, G7:I7, H6:I6, I5)</f>
        <v>34</v>
      </c>
      <c r="C52" s="11">
        <f t="shared" si="19"/>
        <v>0.33333333333333331</v>
      </c>
      <c r="D52">
        <v>21</v>
      </c>
      <c r="E52" s="9">
        <f t="shared" si="20"/>
        <v>0.5</v>
      </c>
      <c r="G52" t="s">
        <v>144</v>
      </c>
      <c r="H52">
        <f>H39</f>
        <v>67</v>
      </c>
      <c r="I52" s="55">
        <f t="shared" si="22"/>
        <v>0.42948717948717946</v>
      </c>
      <c r="J52">
        <v>28</v>
      </c>
      <c r="K52" s="9">
        <f t="shared" si="21"/>
        <v>0.51851851851851849</v>
      </c>
      <c r="M52" t="s">
        <v>26</v>
      </c>
      <c r="N52" s="35">
        <f>N51+'Version 3 (GI3) on-site'!$B$18+'Version 3 (GI3) on-site'!$C$17+'Version 3 (GI3) on-site'!$D$16</f>
        <v>2.5000000000000001E-2</v>
      </c>
      <c r="O52" s="35">
        <f>O51+B18+C17+D16</f>
        <v>6.1728395061728392E-3</v>
      </c>
      <c r="P52" s="35">
        <f t="shared" si="23"/>
        <v>1.8827160493827162E-2</v>
      </c>
      <c r="S52" s="35"/>
      <c r="T52" s="35"/>
      <c r="U52" s="35"/>
    </row>
    <row r="53" spans="1:21" x14ac:dyDescent="0.25">
      <c r="M53" t="s">
        <v>27</v>
      </c>
      <c r="N53" s="35">
        <f>N52+'Version 3 (GI3) on-site'!$B$19+'Version 3 (GI3) on-site'!$C$18+'Version 3 (GI3) on-site'!$D$17+'Version 3 (GI3) on-site'!$E$16</f>
        <v>6.5624999999999989E-2</v>
      </c>
      <c r="O53" s="35">
        <f>O52+B19+C18+D17+E16</f>
        <v>3.0864197530864196E-2</v>
      </c>
      <c r="P53" s="35">
        <f t="shared" si="23"/>
        <v>3.4760802469135793E-2</v>
      </c>
      <c r="S53" s="35"/>
      <c r="T53" s="35"/>
      <c r="U53" s="35"/>
    </row>
    <row r="54" spans="1:21" x14ac:dyDescent="0.25">
      <c r="A54" t="s">
        <v>196</v>
      </c>
      <c r="B54">
        <f>B29</f>
        <v>324</v>
      </c>
      <c r="C54" s="11">
        <v>1</v>
      </c>
      <c r="D54">
        <v>64</v>
      </c>
      <c r="E54">
        <v>100</v>
      </c>
      <c r="G54" t="s">
        <v>197</v>
      </c>
      <c r="H54">
        <v>324</v>
      </c>
      <c r="I54" s="10">
        <v>1</v>
      </c>
      <c r="J54">
        <v>64</v>
      </c>
      <c r="K54" s="11">
        <v>1</v>
      </c>
      <c r="M54" t="s">
        <v>28</v>
      </c>
      <c r="N54" s="35">
        <f>N53+'Version 3 (GI3) on-site'!$B$20+'Version 3 (GI3) on-site'!$C$19+'Version 3 (GI3) on-site'!$D$18+'Version 3 (GI3) on-site'!$E$17+'Version 3 (GI3) on-site'!$F$16</f>
        <v>0.15937499999999999</v>
      </c>
      <c r="O54" s="35">
        <f>O53+B20+C19+D18+E17+F16</f>
        <v>0.1111111111111111</v>
      </c>
      <c r="P54" s="35">
        <f t="shared" si="23"/>
        <v>4.8263888888888884E-2</v>
      </c>
      <c r="S54" s="35"/>
      <c r="T54" s="35"/>
      <c r="U54" s="35"/>
    </row>
    <row r="55" spans="1:21" x14ac:dyDescent="0.25">
      <c r="A55" t="s">
        <v>142</v>
      </c>
      <c r="B55">
        <f>B46</f>
        <v>48</v>
      </c>
      <c r="C55" s="11">
        <f>B55/B$54</f>
        <v>0.14814814814814814</v>
      </c>
      <c r="D55">
        <f>D46</f>
        <v>9</v>
      </c>
      <c r="E55" s="9">
        <f>D55/D$54</f>
        <v>0.140625</v>
      </c>
      <c r="G55" t="s">
        <v>131</v>
      </c>
      <c r="H55">
        <f>H46</f>
        <v>60</v>
      </c>
      <c r="I55" s="55">
        <f>H55/H$54</f>
        <v>0.18518518518518517</v>
      </c>
      <c r="J55">
        <f>J46</f>
        <v>4</v>
      </c>
      <c r="K55" s="9">
        <f>J55/J$54</f>
        <v>6.25E-2</v>
      </c>
      <c r="M55" t="s">
        <v>29</v>
      </c>
      <c r="N55" s="35">
        <f>N54+'Version 3 (GI3) on-site'!$B$21+'Version 3 (GI3) on-site'!$C$20+'Version 3 (GI3) on-site'!$D$19+'Version 3 (GI3) on-site'!$E$18+'Version 3 (GI3) on-site'!$F$17+'Version 3 (GI3) on-site'!$G$16</f>
        <v>0.27187499999999998</v>
      </c>
      <c r="O55" s="35">
        <f>O54+B21+C20+D19+E18+F17+G16</f>
        <v>0.20987654320987659</v>
      </c>
      <c r="P55" s="35">
        <f t="shared" si="23"/>
        <v>6.1998456790123391E-2</v>
      </c>
      <c r="S55" s="35"/>
      <c r="T55" s="35"/>
      <c r="U55" s="35"/>
    </row>
    <row r="56" spans="1:21" x14ac:dyDescent="0.25">
      <c r="A56" t="s">
        <v>78</v>
      </c>
      <c r="B56">
        <f t="shared" ref="B56:B61" si="24">B47</f>
        <v>67</v>
      </c>
      <c r="C56" s="11">
        <f t="shared" ref="C56:C61" si="25">B56/B$54</f>
        <v>0.20679012345679013</v>
      </c>
      <c r="D56">
        <f t="shared" ref="D56:D61" si="26">D47</f>
        <v>19</v>
      </c>
      <c r="E56" s="9">
        <f t="shared" ref="E56:E61" si="27">D56/D$54</f>
        <v>0.296875</v>
      </c>
      <c r="G56" t="s">
        <v>132</v>
      </c>
      <c r="H56">
        <f t="shared" ref="H56:H61" si="28">H47</f>
        <v>99</v>
      </c>
      <c r="I56" s="55">
        <f t="shared" ref="I56:I61" si="29">H56/H$54</f>
        <v>0.30555555555555558</v>
      </c>
      <c r="J56">
        <f t="shared" ref="J56:J61" si="30">J47</f>
        <v>16</v>
      </c>
      <c r="K56" s="9">
        <f t="shared" ref="K56:K61" si="31">J56/J$54</f>
        <v>0.25</v>
      </c>
      <c r="M56" t="s">
        <v>30</v>
      </c>
      <c r="N56" s="35">
        <f>N55+'Version 3 (GI3) on-site'!$B$22+'Version 3 (GI3) on-site'!$C$21+'Version 3 (GI3) on-site'!$D$20+'Version 3 (GI3) on-site'!$E$19+'Version 3 (GI3) on-site'!$F$18+'Version 3 (GI3) on-site'!$G$17+'Version 3 (GI3) on-site'!$H$16</f>
        <v>0.42812499999999998</v>
      </c>
      <c r="O56" s="35">
        <f>O55+B22+C21+D20+E19+F18+G17+H16</f>
        <v>0.43518518518518523</v>
      </c>
      <c r="P56" s="35">
        <f t="shared" si="23"/>
        <v>7.0601851851852526E-3</v>
      </c>
      <c r="S56" s="35"/>
      <c r="T56" s="35"/>
      <c r="U56" s="35"/>
    </row>
    <row r="57" spans="1:21" x14ac:dyDescent="0.25">
      <c r="A57" t="s">
        <v>79</v>
      </c>
      <c r="B57">
        <f t="shared" si="24"/>
        <v>68</v>
      </c>
      <c r="C57" s="11">
        <f t="shared" si="25"/>
        <v>0.20987654320987653</v>
      </c>
      <c r="D57">
        <f t="shared" si="26"/>
        <v>21</v>
      </c>
      <c r="E57" s="9">
        <f t="shared" si="27"/>
        <v>0.328125</v>
      </c>
      <c r="G57" t="s">
        <v>133</v>
      </c>
      <c r="H57">
        <f t="shared" si="28"/>
        <v>141</v>
      </c>
      <c r="I57" s="55">
        <f t="shared" si="29"/>
        <v>0.43518518518518517</v>
      </c>
      <c r="J57">
        <f t="shared" si="30"/>
        <v>28</v>
      </c>
      <c r="K57" s="9">
        <f t="shared" si="31"/>
        <v>0.4375</v>
      </c>
      <c r="M57" t="s">
        <v>31</v>
      </c>
      <c r="N57" s="35">
        <f>N56+'Version 3 (GI3) on-site'!$B$23+'Version 3 (GI3) on-site'!$C$22+'Version 3 (GI3) on-site'!$D$21+'Version 3 (GI3) on-site'!$E$20+'Version 3 (GI3) on-site'!$F$19+'Version 3 (GI3) on-site'!$G$18+'Version 3 (GI3) on-site'!$H$17+'Version 3 (GI3) on-site'!$I$16</f>
        <v>0.79999999999999993</v>
      </c>
      <c r="O57" s="35">
        <f>O56+B23+C22+D21+E20+F19+G18+H17+I16</f>
        <v>0.79320987654320996</v>
      </c>
      <c r="P57" s="35">
        <f t="shared" si="23"/>
        <v>6.790123456789976E-3</v>
      </c>
      <c r="S57" s="35"/>
      <c r="T57" s="35"/>
      <c r="U57" s="35"/>
    </row>
    <row r="58" spans="1:21" x14ac:dyDescent="0.25">
      <c r="A58" t="s">
        <v>201</v>
      </c>
      <c r="B58">
        <f t="shared" si="24"/>
        <v>0</v>
      </c>
      <c r="C58" s="11">
        <f t="shared" si="25"/>
        <v>0</v>
      </c>
      <c r="D58">
        <f t="shared" si="26"/>
        <v>3</v>
      </c>
      <c r="E58" s="9">
        <f t="shared" si="27"/>
        <v>4.6875E-2</v>
      </c>
      <c r="G58" t="s">
        <v>199</v>
      </c>
      <c r="H58">
        <f t="shared" si="28"/>
        <v>0</v>
      </c>
      <c r="I58" s="55">
        <f t="shared" si="29"/>
        <v>0</v>
      </c>
      <c r="J58">
        <f t="shared" si="30"/>
        <v>1</v>
      </c>
      <c r="K58" s="9">
        <f t="shared" si="31"/>
        <v>1.5625E-2</v>
      </c>
      <c r="M58" t="s">
        <v>32</v>
      </c>
      <c r="N58" s="35">
        <f>N57+'Version 3 (GI3) on-site'!$C$23+'Version 3 (GI3) on-site'!$D$22+'Version 3 (GI3) on-site'!$E$21+'Version 3 (GI3) on-site'!$F$20+'Version 3 (GI3) on-site'!$G$19+'Version 3 (GI3) on-site'!$H$18+'Version 3 (GI3) on-site'!$I$17</f>
        <v>0.921875</v>
      </c>
      <c r="O58" s="35">
        <f>O57+C23+D22+E21+F20+G19+H18+I17</f>
        <v>0.89506172839506182</v>
      </c>
      <c r="P58" s="35">
        <f t="shared" si="23"/>
        <v>2.6813271604938183E-2</v>
      </c>
      <c r="S58" s="35"/>
      <c r="T58" s="35"/>
      <c r="U58" s="35"/>
    </row>
    <row r="59" spans="1:21" x14ac:dyDescent="0.25">
      <c r="A59" t="s">
        <v>139</v>
      </c>
      <c r="B59">
        <f t="shared" si="24"/>
        <v>25</v>
      </c>
      <c r="C59" s="11">
        <f t="shared" si="25"/>
        <v>7.716049382716049E-2</v>
      </c>
      <c r="D59">
        <f t="shared" si="26"/>
        <v>9</v>
      </c>
      <c r="E59" s="9">
        <f t="shared" si="27"/>
        <v>0.140625</v>
      </c>
      <c r="G59" t="s">
        <v>0</v>
      </c>
      <c r="H59">
        <f t="shared" si="28"/>
        <v>14</v>
      </c>
      <c r="I59" s="55">
        <f t="shared" si="29"/>
        <v>4.3209876543209874E-2</v>
      </c>
      <c r="J59">
        <f t="shared" si="30"/>
        <v>4</v>
      </c>
      <c r="K59" s="9">
        <f t="shared" si="31"/>
        <v>6.25E-2</v>
      </c>
      <c r="M59" t="s">
        <v>33</v>
      </c>
      <c r="N59" s="35">
        <f>N58+'Version 3 (GI3) on-site'!$D$23+'Version 3 (GI3) on-site'!$E$22+'Version 3 (GI3) on-site'!$F$21+'Version 3 (GI3) on-site'!$G$20+'Version 3 (GI3) on-site'!$H$19+'Version 3 (GI3) on-site'!$I$18</f>
        <v>0.98124999999999984</v>
      </c>
      <c r="O59" s="35">
        <f>O58+D23+E22+F21+G20+H19+I18</f>
        <v>0.9506172839506174</v>
      </c>
      <c r="P59" s="35">
        <f t="shared" si="23"/>
        <v>3.0632716049382447E-2</v>
      </c>
      <c r="S59" s="35"/>
      <c r="T59" s="35"/>
      <c r="U59" s="35"/>
    </row>
    <row r="60" spans="1:21" x14ac:dyDescent="0.25">
      <c r="A60" t="s">
        <v>140</v>
      </c>
      <c r="B60">
        <f t="shared" si="24"/>
        <v>32</v>
      </c>
      <c r="C60" s="11">
        <f t="shared" si="25"/>
        <v>9.8765432098765427E-2</v>
      </c>
      <c r="D60">
        <f t="shared" si="26"/>
        <v>19</v>
      </c>
      <c r="E60" s="9">
        <f t="shared" si="27"/>
        <v>0.296875</v>
      </c>
      <c r="G60" t="s">
        <v>143</v>
      </c>
      <c r="H60">
        <f t="shared" si="28"/>
        <v>38</v>
      </c>
      <c r="I60" s="55">
        <f t="shared" si="29"/>
        <v>0.11728395061728394</v>
      </c>
      <c r="J60">
        <f t="shared" si="30"/>
        <v>16</v>
      </c>
      <c r="K60" s="9">
        <f t="shared" si="31"/>
        <v>0.25</v>
      </c>
      <c r="M60" t="s">
        <v>34</v>
      </c>
      <c r="N60" s="35">
        <f>N59+'Version 3 (GI3) on-site'!$E$23+'Version 3 (GI3) on-site'!$F$22+'Version 3 (GI3) on-site'!$G$21+'Version 3 (GI3) on-site'!$H$20+'Version 3 (GI3) on-site'!$I$19</f>
        <v>0.99375000000000002</v>
      </c>
      <c r="O60" s="35">
        <f>O59+E23+F22+G21+H20+I19</f>
        <v>0.98765432098765449</v>
      </c>
      <c r="P60" s="35">
        <f t="shared" si="23"/>
        <v>6.095679012345534E-3</v>
      </c>
      <c r="R60" s="35"/>
      <c r="S60" s="35"/>
      <c r="T60" s="35"/>
      <c r="U60" s="35"/>
    </row>
    <row r="61" spans="1:21" x14ac:dyDescent="0.25">
      <c r="A61" t="s">
        <v>141</v>
      </c>
      <c r="B61">
        <f t="shared" si="24"/>
        <v>34</v>
      </c>
      <c r="C61" s="11">
        <f t="shared" si="25"/>
        <v>0.10493827160493827</v>
      </c>
      <c r="D61">
        <f t="shared" si="26"/>
        <v>21</v>
      </c>
      <c r="E61" s="9">
        <f t="shared" si="27"/>
        <v>0.328125</v>
      </c>
      <c r="G61" t="s">
        <v>144</v>
      </c>
      <c r="H61">
        <f t="shared" si="28"/>
        <v>67</v>
      </c>
      <c r="I61" s="55">
        <f t="shared" si="29"/>
        <v>0.20679012345679013</v>
      </c>
      <c r="J61">
        <f t="shared" si="30"/>
        <v>28</v>
      </c>
      <c r="K61" s="9">
        <f t="shared" si="31"/>
        <v>0.4375</v>
      </c>
      <c r="M61" t="s">
        <v>35</v>
      </c>
      <c r="N61" s="35">
        <f>N60+'Version 3 (GI3) on-site'!$F$23+'Version 3 (GI3) on-site'!$G$22+'Version 3 (GI3) on-site'!$H$21+'Version 3 (GI3) on-site'!$I$20</f>
        <v>1</v>
      </c>
      <c r="O61" s="35">
        <f>O60+F23+G22+H21+I20</f>
        <v>0.99691358024691379</v>
      </c>
      <c r="P61" s="35">
        <f t="shared" si="23"/>
        <v>3.0864197530862114E-3</v>
      </c>
    </row>
    <row r="62" spans="1:21" x14ac:dyDescent="0.25">
      <c r="M62" t="s">
        <v>36</v>
      </c>
      <c r="N62" s="35">
        <f>N61+'Version 3 (GI3) on-site'!$G$23+'Version 3 (GI3) on-site'!$H$22+'Version 3 (GI3) on-site'!$I$21</f>
        <v>1</v>
      </c>
      <c r="O62" s="35">
        <f>O61+G23+H22+I21</f>
        <v>1.0000000000000002</v>
      </c>
      <c r="P62" s="35">
        <f t="shared" si="23"/>
        <v>2.2204460492503131E-16</v>
      </c>
    </row>
    <row r="63" spans="1:21" x14ac:dyDescent="0.25">
      <c r="G63" s="8"/>
      <c r="H63" s="7" t="s">
        <v>68</v>
      </c>
      <c r="I63" s="54" t="s">
        <v>69</v>
      </c>
      <c r="J63" s="7" t="s">
        <v>70</v>
      </c>
      <c r="K63" s="7" t="s">
        <v>69</v>
      </c>
      <c r="M63" t="s">
        <v>37</v>
      </c>
      <c r="N63" s="35">
        <f>N62+'Version 3 (GI3) on-site'!$H$23+'Version 3 (GI3) on-site'!$I$22</f>
        <v>1</v>
      </c>
      <c r="O63" s="35">
        <f>O62+H23+I22</f>
        <v>1.0000000000000002</v>
      </c>
      <c r="P63" s="35">
        <f t="shared" si="23"/>
        <v>2.2204460492503131E-16</v>
      </c>
    </row>
    <row r="64" spans="1:21" x14ac:dyDescent="0.25">
      <c r="G64" t="s">
        <v>197</v>
      </c>
      <c r="H64" s="36">
        <v>324</v>
      </c>
      <c r="I64" s="28">
        <v>1</v>
      </c>
      <c r="J64">
        <v>64</v>
      </c>
      <c r="K64" s="9">
        <v>1</v>
      </c>
      <c r="M64" t="s">
        <v>38</v>
      </c>
      <c r="N64" s="35">
        <f>N63+'Version 3 (GI3) on-site'!$I$23</f>
        <v>1</v>
      </c>
      <c r="O64" s="35">
        <f>O63+I23</f>
        <v>1.0000000000000002</v>
      </c>
      <c r="P64" s="35">
        <f t="shared" si="23"/>
        <v>2.2204460492503131E-16</v>
      </c>
    </row>
    <row r="65" spans="7:16" x14ac:dyDescent="0.25">
      <c r="H65" s="36"/>
      <c r="K65" s="9"/>
      <c r="M65" t="s">
        <v>15</v>
      </c>
      <c r="N65" s="35"/>
      <c r="O65" s="35"/>
      <c r="P65" s="35">
        <f>MAX(P50:P64)</f>
        <v>6.1998456790123391E-2</v>
      </c>
    </row>
    <row r="66" spans="7:16" x14ac:dyDescent="0.25">
      <c r="H66" s="36"/>
      <c r="K66" s="9"/>
      <c r="M66" t="s">
        <v>163</v>
      </c>
    </row>
    <row r="67" spans="7:16" x14ac:dyDescent="0.25">
      <c r="G67" t="s">
        <v>251</v>
      </c>
      <c r="H67" s="36">
        <f>H32-E6</f>
        <v>55</v>
      </c>
      <c r="I67" s="10">
        <f>H67/H64</f>
        <v>0.16975308641975309</v>
      </c>
      <c r="J67">
        <v>15</v>
      </c>
      <c r="K67" s="9">
        <f>J67/J64</f>
        <v>0.234375</v>
      </c>
      <c r="M67" t="s">
        <v>40</v>
      </c>
      <c r="N67" s="35">
        <f>'Version 3 (GI3) on-site'!I16</f>
        <v>9.3749999999999997E-3</v>
      </c>
      <c r="O67" s="35">
        <f>I16</f>
        <v>3.0864197530864196E-3</v>
      </c>
      <c r="P67" s="35">
        <f>ABS(N67-O67)</f>
        <v>6.2885802469135801E-3</v>
      </c>
    </row>
    <row r="68" spans="7:16" x14ac:dyDescent="0.25">
      <c r="G68" t="s">
        <v>252</v>
      </c>
      <c r="H68" s="36">
        <f>H33-E6</f>
        <v>97</v>
      </c>
      <c r="I68" s="10">
        <f>H68/H64</f>
        <v>0.29938271604938271</v>
      </c>
      <c r="J68">
        <v>27</v>
      </c>
      <c r="K68" s="9">
        <f>J68/J64</f>
        <v>0.421875</v>
      </c>
      <c r="M68" t="s">
        <v>41</v>
      </c>
      <c r="N68" s="35">
        <f>N67+'Version 3 (GI3) on-site'!H16+'Version 3 (GI3) on-site'!I17</f>
        <v>1.8749999999999999E-2</v>
      </c>
      <c r="O68" s="35">
        <f>O67+I17+H16</f>
        <v>6.1728395061728392E-3</v>
      </c>
      <c r="P68" s="35">
        <f t="shared" ref="P68:P81" si="32">ABS(N68-O68)</f>
        <v>1.257716049382716E-2</v>
      </c>
    </row>
    <row r="69" spans="7:16" x14ac:dyDescent="0.25">
      <c r="H69" s="36"/>
      <c r="K69" s="9"/>
      <c r="M69" t="s">
        <v>42</v>
      </c>
      <c r="N69" s="35">
        <f>N68+'Version 3 (GI3) on-site'!G16+'Version 3 (GI3) on-site'!H17+'Version 3 (GI3) on-site'!I18</f>
        <v>3.7499999999999999E-2</v>
      </c>
      <c r="O69" s="35">
        <f>O68+I18+H17+G16</f>
        <v>2.1604938271604937E-2</v>
      </c>
      <c r="P69" s="35">
        <f t="shared" si="32"/>
        <v>1.5895061728395062E-2</v>
      </c>
    </row>
    <row r="70" spans="7:16" x14ac:dyDescent="0.25">
      <c r="H70" s="36"/>
      <c r="K70" s="9"/>
      <c r="M70" t="s">
        <v>43</v>
      </c>
      <c r="N70" s="35">
        <f>N69+'Version 3 (GI3) on-site'!F16+'Version 3 (GI3) on-site'!G17+'Version 3 (GI3) on-site'!H18+'Version 3 (GI3) on-site'!I19</f>
        <v>6.8750000000000006E-2</v>
      </c>
      <c r="O70" s="35">
        <f>O69+I19+H18+G17+F16</f>
        <v>4.9382716049382713E-2</v>
      </c>
      <c r="P70" s="35">
        <f t="shared" si="32"/>
        <v>1.9367283950617292E-2</v>
      </c>
    </row>
    <row r="71" spans="7:16" x14ac:dyDescent="0.25">
      <c r="H71" s="36"/>
      <c r="K71" s="9"/>
      <c r="M71" t="s">
        <v>44</v>
      </c>
      <c r="N71" s="35">
        <f>N70+'Version 3 (GI3) on-site'!E16+'Version 3 (GI3) on-site'!F17+'Version 3 (GI3) on-site'!G18+'Version 3 (GI3) on-site'!H19+'Version 3 (GI3) on-site'!I20</f>
        <v>0.13125000000000001</v>
      </c>
      <c r="O71" s="35">
        <f>O70+I20+H19+G18+F17+E16</f>
        <v>0.12654320987654322</v>
      </c>
      <c r="P71" s="35">
        <f t="shared" si="32"/>
        <v>4.7067901234567888E-3</v>
      </c>
    </row>
    <row r="72" spans="7:16" x14ac:dyDescent="0.25">
      <c r="H72" s="36"/>
      <c r="K72" s="9"/>
      <c r="M72" t="s">
        <v>45</v>
      </c>
      <c r="N72" s="35">
        <f>N71+'Version 3 (GI3) on-site'!D16+'Version 3 (GI3) on-site'!E17+'Version 3 (GI3) on-site'!F18+'Version 3 (GI3) on-site'!G19+'Version 3 (GI3) on-site'!H20+'Version 3 (GI3) on-site'!I21</f>
        <v>0.19375000000000001</v>
      </c>
      <c r="O72" s="35">
        <f>O71+I21+H20+G19+F18+E17+D16</f>
        <v>0.2067901234567901</v>
      </c>
      <c r="P72" s="35">
        <f t="shared" si="32"/>
        <v>1.3040123456790093E-2</v>
      </c>
    </row>
    <row r="73" spans="7:16" x14ac:dyDescent="0.25">
      <c r="G73" t="s">
        <v>253</v>
      </c>
      <c r="H73" s="36">
        <f>H38-F7</f>
        <v>30</v>
      </c>
      <c r="I73" s="10">
        <f>H73/H64</f>
        <v>9.2592592592592587E-2</v>
      </c>
      <c r="J73">
        <v>15</v>
      </c>
      <c r="K73" s="9">
        <f>J73/J64</f>
        <v>0.234375</v>
      </c>
      <c r="M73" t="s">
        <v>46</v>
      </c>
      <c r="N73" s="35">
        <f>N72+'Version 3 (GI3) on-site'!C16+'Version 3 (GI3) on-site'!D17+'Version 3 (GI3) on-site'!E18+'Version 3 (GI3) on-site'!F19+'Version 3 (GI3) on-site'!G20+'Version 3 (GI3) on-site'!H21+'Version 3 (GI3) on-site'!I22</f>
        <v>0.35</v>
      </c>
      <c r="O73" s="35">
        <f>O72+I22+H21+G20+F19+E18+D17+C16</f>
        <v>0.40123456790123452</v>
      </c>
      <c r="P73" s="35">
        <f t="shared" si="32"/>
        <v>5.123456790123454E-2</v>
      </c>
    </row>
    <row r="74" spans="7:16" x14ac:dyDescent="0.25">
      <c r="G74" t="s">
        <v>254</v>
      </c>
      <c r="H74" s="36">
        <f>H39-F7</f>
        <v>59</v>
      </c>
      <c r="I74" s="10">
        <f>H74/H64</f>
        <v>0.18209876543209877</v>
      </c>
      <c r="J74">
        <v>27</v>
      </c>
      <c r="K74" s="9">
        <f>J74/J64</f>
        <v>0.421875</v>
      </c>
      <c r="M74" t="s">
        <v>47</v>
      </c>
      <c r="N74" s="35">
        <f>N73+'Version 3 (GI3) on-site'!B16+'Version 3 (GI3) on-site'!C17+'Version 3 (GI3) on-site'!D18+'Version 3 (GI3) on-site'!E19+'Version 3 (GI3) on-site'!F20+'Version 3 (GI3) on-site'!G21+'Version 3 (GI3) on-site'!H22+'Version 3 (GI3) on-site'!I23</f>
        <v>0.47499999999999998</v>
      </c>
      <c r="O74" s="35">
        <f>O73+I23+H22+G21+F20+E19+D18+C17+B16</f>
        <v>0.62962962962962954</v>
      </c>
      <c r="P74" s="35">
        <f t="shared" si="32"/>
        <v>0.15462962962962956</v>
      </c>
    </row>
    <row r="75" spans="7:16" x14ac:dyDescent="0.25">
      <c r="M75" t="s">
        <v>48</v>
      </c>
      <c r="N75" s="35">
        <f>N74+'Version 3 (GI3) on-site'!B17+'Version 3 (GI3) on-site'!C18+'Version 3 (GI3) on-site'!D19+'Version 3 (GI3) on-site'!E20+'Version 3 (GI3) on-site'!F21+'Version 3 (GI3) on-site'!G22+'Version 3 (GI3) on-site'!H23</f>
        <v>0.70312499999999989</v>
      </c>
      <c r="O75" s="35">
        <f>O74+H23+G22+F21+E20+D19+C18+B17</f>
        <v>0.81172839506172834</v>
      </c>
      <c r="P75" s="35">
        <f t="shared" si="32"/>
        <v>0.10860339506172845</v>
      </c>
    </row>
    <row r="76" spans="7:16" x14ac:dyDescent="0.25">
      <c r="M76" t="s">
        <v>49</v>
      </c>
      <c r="N76" s="35">
        <f>N75+'Version 3 (GI3) on-site'!B18+'Version 3 (GI3) on-site'!C19+'Version 3 (GI3) on-site'!D20+'Version 3 (GI3) on-site'!E21+'Version 3 (GI3) on-site'!F22+'Version 3 (GI3) on-site'!G23</f>
        <v>0.84062499999999984</v>
      </c>
      <c r="O76" s="35">
        <f>O75+G23+F22+E21+D20+C19+B18</f>
        <v>0.89506172839506171</v>
      </c>
      <c r="P76" s="35">
        <f t="shared" si="32"/>
        <v>5.4436728395061862E-2</v>
      </c>
    </row>
    <row r="77" spans="7:16" x14ac:dyDescent="0.25">
      <c r="M77" t="s">
        <v>50</v>
      </c>
      <c r="N77" s="35">
        <f>N76+'Version 3 (GI3) on-site'!B19+'Version 3 (GI3) on-site'!C20+'Version 3 (GI3) on-site'!D21+'Version 3 (GI3) on-site'!E22+'Version 3 (GI3) on-site'!F23</f>
        <v>0.92812499999999976</v>
      </c>
      <c r="O77" s="35">
        <f>O76+F23+E22+D21+C20+B19</f>
        <v>0.94753086419753074</v>
      </c>
      <c r="P77" s="35">
        <f t="shared" si="32"/>
        <v>1.9405864197530986E-2</v>
      </c>
    </row>
    <row r="78" spans="7:16" x14ac:dyDescent="0.25">
      <c r="M78" t="s">
        <v>51</v>
      </c>
      <c r="N78" s="35">
        <f>N77+'Version 3 (GI3) on-site'!B20+'Version 3 (GI3) on-site'!C21+'Version 3 (GI3) on-site'!D22+'Version 3 (GI3) on-site'!E23</f>
        <v>0.95937499999999987</v>
      </c>
      <c r="O78" s="35">
        <f>O77+E23+D22+C21+B20</f>
        <v>0.9722222222222221</v>
      </c>
      <c r="P78" s="35">
        <f t="shared" si="32"/>
        <v>1.2847222222222232E-2</v>
      </c>
    </row>
    <row r="79" spans="7:16" x14ac:dyDescent="0.25">
      <c r="M79" t="s">
        <v>52</v>
      </c>
      <c r="N79" s="35">
        <f>N78+'Version 3 (GI3) on-site'!B21+'Version 3 (GI3) on-site'!C22+'Version 3 (GI3) on-site'!D23</f>
        <v>0.98437499999999989</v>
      </c>
      <c r="O79" s="35">
        <f>O78+D23+C22+B21</f>
        <v>0.99382716049382702</v>
      </c>
      <c r="P79" s="35">
        <f t="shared" si="32"/>
        <v>9.4521604938271331E-3</v>
      </c>
    </row>
    <row r="80" spans="7:16" x14ac:dyDescent="0.25">
      <c r="M80" t="s">
        <v>53</v>
      </c>
      <c r="N80" s="35">
        <f>N79+'Version 3 (GI3) on-site'!B22+'Version 3 (GI3) on-site'!C23</f>
        <v>0.98749999999999993</v>
      </c>
      <c r="O80" s="35">
        <f>O79+C23+B22</f>
        <v>0.99691358024691346</v>
      </c>
      <c r="P80" s="35">
        <f t="shared" si="32"/>
        <v>9.4135802469135221E-3</v>
      </c>
    </row>
    <row r="81" spans="13:23" customFormat="1" x14ac:dyDescent="0.25">
      <c r="M81" t="s">
        <v>54</v>
      </c>
      <c r="N81" s="35">
        <f>N80+'Version 3 (GI3) on-site'!B23</f>
        <v>0.99999999999999989</v>
      </c>
      <c r="O81" s="35">
        <f>O80+B23</f>
        <v>0.99999999999999989</v>
      </c>
      <c r="P81" s="35">
        <f t="shared" si="32"/>
        <v>0</v>
      </c>
    </row>
    <row r="82" spans="13:23" customFormat="1" x14ac:dyDescent="0.25">
      <c r="M82" t="s">
        <v>15</v>
      </c>
      <c r="P82" s="35">
        <f>MAX(P67:P81)</f>
        <v>0.15462962962962956</v>
      </c>
    </row>
    <row r="84" spans="13:23" customFormat="1" x14ac:dyDescent="0.25">
      <c r="M84" s="37" t="s">
        <v>185</v>
      </c>
      <c r="T84" t="s">
        <v>153</v>
      </c>
    </row>
    <row r="85" spans="13:23" customFormat="1" x14ac:dyDescent="0.25">
      <c r="M85" t="s">
        <v>160</v>
      </c>
      <c r="N85" t="s">
        <v>13</v>
      </c>
      <c r="O85" t="s">
        <v>178</v>
      </c>
      <c r="P85" t="s">
        <v>39</v>
      </c>
      <c r="T85" t="s">
        <v>145</v>
      </c>
      <c r="U85" t="s">
        <v>146</v>
      </c>
      <c r="V85" t="s">
        <v>150</v>
      </c>
    </row>
    <row r="86" spans="13:23" customFormat="1" x14ac:dyDescent="0.25">
      <c r="M86" t="s">
        <v>6</v>
      </c>
      <c r="N86" s="35">
        <f>'Version 4 (LI)'!B24</f>
        <v>2.7777777777777779E-3</v>
      </c>
      <c r="O86" s="35">
        <f>$B$24</f>
        <v>1.5432098765432098E-2</v>
      </c>
      <c r="P86" s="35">
        <f t="shared" ref="P86:P93" si="33">ABS(N86-O86)</f>
        <v>1.265432098765432E-2</v>
      </c>
      <c r="T86">
        <v>0.1</v>
      </c>
      <c r="U86">
        <v>1.22</v>
      </c>
      <c r="V86">
        <f>SQRT((T91+T92)/(T91*T92))</f>
        <v>0.1531560972454469</v>
      </c>
      <c r="W86">
        <f>PRODUCT(V86, U86)</f>
        <v>0.18685043863944523</v>
      </c>
    </row>
    <row r="87" spans="13:23" customFormat="1" x14ac:dyDescent="0.25">
      <c r="M87" t="s">
        <v>7</v>
      </c>
      <c r="N87" s="35">
        <f>'Version 4 (LI)'!B24+'Version 4 (LI)'!C24</f>
        <v>7.4999999999999997E-2</v>
      </c>
      <c r="O87" s="35">
        <f>$B$24+$C$24</f>
        <v>6.4814814814814811E-2</v>
      </c>
      <c r="P87" s="35">
        <f t="shared" si="33"/>
        <v>1.0185185185185186E-2</v>
      </c>
      <c r="T87">
        <v>0.05</v>
      </c>
      <c r="U87">
        <v>1.36</v>
      </c>
      <c r="W87">
        <f>V86*U87</f>
        <v>0.2082922922538078</v>
      </c>
    </row>
    <row r="88" spans="13:23" customFormat="1" x14ac:dyDescent="0.25">
      <c r="M88" t="s">
        <v>8</v>
      </c>
      <c r="N88" s="35">
        <f>'Version 4 (LI)'!B24+'Version 4 (LI)'!C24+'Version 4 (LI)'!D24</f>
        <v>0.2722222222222222</v>
      </c>
      <c r="O88" s="35">
        <f>$B$24+$C$24+$D$24</f>
        <v>0.23456790123456789</v>
      </c>
      <c r="P88" s="35">
        <f t="shared" si="33"/>
        <v>3.7654320987654311E-2</v>
      </c>
      <c r="T88">
        <v>0.01</v>
      </c>
      <c r="U88">
        <v>1.63</v>
      </c>
      <c r="W88">
        <f>V86*U88</f>
        <v>0.24964443851007845</v>
      </c>
    </row>
    <row r="89" spans="13:23" customFormat="1" x14ac:dyDescent="0.25">
      <c r="M89" t="s">
        <v>9</v>
      </c>
      <c r="N89" s="35">
        <f>'Version 4 (LI)'!B24+'Version 4 (LI)'!C24+'Version 4 (LI)'!D24+'Version 4 (LI)'!E24</f>
        <v>0.67222222222222217</v>
      </c>
      <c r="O89" s="35">
        <f>SUM($B$24:$E$24)</f>
        <v>0.60802469135802473</v>
      </c>
      <c r="P89" s="35">
        <f t="shared" si="33"/>
        <v>6.4197530864197438E-2</v>
      </c>
      <c r="R89" t="s">
        <v>293</v>
      </c>
      <c r="U89" s="35">
        <f>MAX(P94,P104,P121)</f>
        <v>6.4197530864197438E-2</v>
      </c>
      <c r="V89" s="35">
        <f>MAX(P94, P104, P121, P138)</f>
        <v>6.4197530864197438E-2</v>
      </c>
    </row>
    <row r="90" spans="13:23" customFormat="1" x14ac:dyDescent="0.25">
      <c r="M90" t="s">
        <v>10</v>
      </c>
      <c r="N90" s="35">
        <f>'Version 4 (LI)'!B24+'Version 4 (LI)'!C24+'Version 4 (LI)'!D24+'Version 4 (LI)'!E24+'Version 4 (LI)'!F24</f>
        <v>0.82777777777777772</v>
      </c>
      <c r="O90" s="35">
        <f>SUM($B$24:$F$24)</f>
        <v>0.80555555555555558</v>
      </c>
      <c r="P90" s="35">
        <f t="shared" si="33"/>
        <v>2.2222222222222143E-2</v>
      </c>
      <c r="T90" t="s">
        <v>147</v>
      </c>
    </row>
    <row r="91" spans="13:23" customFormat="1" x14ac:dyDescent="0.25">
      <c r="M91" t="s">
        <v>11</v>
      </c>
      <c r="N91" s="35">
        <f>'Version 4 (LI)'!B24+'Version 4 (LI)'!C24+'Version 4 (LI)'!D24+'Version 4 (LI)'!E24+'Version 4 (LI)'!F24+'Version 4 (LI)'!G24</f>
        <v>0.93333333333333324</v>
      </c>
      <c r="O91" s="35">
        <f>SUM($B$24:$G$24)</f>
        <v>0.96296296296296302</v>
      </c>
      <c r="P91" s="35">
        <f t="shared" si="33"/>
        <v>2.9629629629629783E-2</v>
      </c>
      <c r="S91" t="s">
        <v>148</v>
      </c>
      <c r="T91">
        <v>90</v>
      </c>
    </row>
    <row r="92" spans="13:23" customFormat="1" x14ac:dyDescent="0.25">
      <c r="M92" t="s">
        <v>12</v>
      </c>
      <c r="N92" s="35">
        <f>'Version 4 (LI)'!B24+'Version 4 (LI)'!C24+'Version 4 (LI)'!D24+'Version 4 (LI)'!E24+'Version 4 (LI)'!F24+'Version 4 (LI)'!G24+'Version 4 (LI)'!H24</f>
        <v>0.96666666666666656</v>
      </c>
      <c r="O92" s="35">
        <f>SUM($B$24:$H$24)</f>
        <v>0.98765432098765438</v>
      </c>
      <c r="P92" s="35">
        <f t="shared" si="33"/>
        <v>2.0987654320987814E-2</v>
      </c>
      <c r="S92" t="s">
        <v>186</v>
      </c>
      <c r="T92">
        <v>81</v>
      </c>
    </row>
    <row r="93" spans="13:23" customFormat="1" x14ac:dyDescent="0.25">
      <c r="M93" t="s">
        <v>22</v>
      </c>
      <c r="N93" s="35">
        <f>'Version 4 (LI)'!B24+'Version 4 (LI)'!C24+'Version 4 (LI)'!D24+'Version 4 (LI)'!E24+'Version 4 (LI)'!F24+'Version 4 (LI)'!G24+'Version 4 (LI)'!H24+'Version 4 (LI)'!I24</f>
        <v>0.99999999999999989</v>
      </c>
      <c r="O93" s="35">
        <f>SUM($B$24:$I$24)</f>
        <v>1</v>
      </c>
      <c r="P93" s="35">
        <f t="shared" si="33"/>
        <v>1.1102230246251565E-16</v>
      </c>
    </row>
    <row r="94" spans="13:23" customFormat="1" x14ac:dyDescent="0.25">
      <c r="M94" t="s">
        <v>15</v>
      </c>
      <c r="P94" s="35">
        <f>MAX(P86:P93)</f>
        <v>6.4197530864197438E-2</v>
      </c>
    </row>
    <row r="95" spans="13:23" customFormat="1" x14ac:dyDescent="0.25">
      <c r="M95" t="s">
        <v>161</v>
      </c>
    </row>
    <row r="96" spans="13:23" customFormat="1" x14ac:dyDescent="0.25">
      <c r="M96" t="s">
        <v>93</v>
      </c>
      <c r="N96" s="35">
        <f>'Version 4 (LI)'!$J$16</f>
        <v>6.9444444444444448E-2</v>
      </c>
      <c r="O96" s="35">
        <f>$J$16</f>
        <v>2.4691358024691357E-2</v>
      </c>
      <c r="P96" s="35">
        <f>ABS(N96-O96)</f>
        <v>4.4753086419753091E-2</v>
      </c>
    </row>
    <row r="97" spans="13:16" customFormat="1" x14ac:dyDescent="0.25">
      <c r="M97" t="s">
        <v>16</v>
      </c>
      <c r="N97" s="35">
        <f>'Version 4 (LI)'!$J$17+N96</f>
        <v>0.10833333333333334</v>
      </c>
      <c r="O97" s="35">
        <f>SUM($J$16:$J$17)</f>
        <v>8.0246913580246909E-2</v>
      </c>
      <c r="P97" s="35">
        <f t="shared" ref="P97:P103" si="34">ABS(N97-O97)</f>
        <v>2.8086419753086428E-2</v>
      </c>
    </row>
    <row r="98" spans="13:16" customFormat="1" x14ac:dyDescent="0.25">
      <c r="M98" t="s">
        <v>17</v>
      </c>
      <c r="N98" s="35">
        <f>'Version 4 (LI)'!$J$18+N97</f>
        <v>0.30555555555555558</v>
      </c>
      <c r="O98" s="35">
        <f>SUM($J$16:$J$18)</f>
        <v>0.29938271604938271</v>
      </c>
      <c r="P98" s="35">
        <f t="shared" si="34"/>
        <v>6.1728395061728669E-3</v>
      </c>
    </row>
    <row r="99" spans="13:16" customFormat="1" x14ac:dyDescent="0.25">
      <c r="M99" t="s">
        <v>18</v>
      </c>
      <c r="N99" s="35">
        <f>'Version 4 (LI)'!$J$19+N98</f>
        <v>0.51944444444444449</v>
      </c>
      <c r="O99" s="35">
        <f>SUM($J$16:$J$19)</f>
        <v>0.58024691358024683</v>
      </c>
      <c r="P99" s="35">
        <f t="shared" si="34"/>
        <v>6.0802469135802339E-2</v>
      </c>
    </row>
    <row r="100" spans="13:16" customFormat="1" x14ac:dyDescent="0.25">
      <c r="M100" t="s">
        <v>19</v>
      </c>
      <c r="N100" s="35">
        <f>'Version 4 (LI)'!$J$20+N99</f>
        <v>0.81111111111111112</v>
      </c>
      <c r="O100" s="35">
        <f>SUM($J$16:$J$20)</f>
        <v>0.82716049382716039</v>
      </c>
      <c r="P100" s="35">
        <f t="shared" si="34"/>
        <v>1.6049382716049276E-2</v>
      </c>
    </row>
    <row r="101" spans="13:16" customFormat="1" x14ac:dyDescent="0.25">
      <c r="M101" t="s">
        <v>20</v>
      </c>
      <c r="N101" s="35">
        <f>'Version 4 (LI)'!$J$21+N100</f>
        <v>0.90555555555555556</v>
      </c>
      <c r="O101" s="35">
        <f>SUM($J$16:$J$21)</f>
        <v>0.93827160493827155</v>
      </c>
      <c r="P101" s="35">
        <f t="shared" si="34"/>
        <v>3.2716049382715995E-2</v>
      </c>
    </row>
    <row r="102" spans="13:16" customFormat="1" x14ac:dyDescent="0.25">
      <c r="M102" t="s">
        <v>21</v>
      </c>
      <c r="N102" s="35">
        <f>'Version 4 (LI)'!$J$22+N101</f>
        <v>0.98333333333333339</v>
      </c>
      <c r="O102" s="35">
        <f>SUM($J$16:$J$22)</f>
        <v>0.9907407407407407</v>
      </c>
      <c r="P102" s="35">
        <f t="shared" si="34"/>
        <v>7.4074074074073071E-3</v>
      </c>
    </row>
    <row r="103" spans="13:16" customFormat="1" x14ac:dyDescent="0.25">
      <c r="M103" t="s">
        <v>23</v>
      </c>
      <c r="N103" s="35">
        <f>'Version 4 (LI)'!$J$23+N102</f>
        <v>1</v>
      </c>
      <c r="O103" s="35">
        <f>SUM($J$16:$J$23)</f>
        <v>1</v>
      </c>
      <c r="P103" s="35">
        <f t="shared" si="34"/>
        <v>0</v>
      </c>
    </row>
    <row r="104" spans="13:16" customFormat="1" x14ac:dyDescent="0.25">
      <c r="M104" t="s">
        <v>15</v>
      </c>
      <c r="P104" s="35">
        <f>MAX(P96:P103)</f>
        <v>6.0802469135802339E-2</v>
      </c>
    </row>
    <row r="105" spans="13:16" customFormat="1" x14ac:dyDescent="0.25">
      <c r="M105" t="s">
        <v>162</v>
      </c>
    </row>
    <row r="106" spans="13:16" customFormat="1" x14ac:dyDescent="0.25">
      <c r="M106" t="s">
        <v>24</v>
      </c>
      <c r="N106" s="35">
        <f>'Version 4 (LI)'!$B$16</f>
        <v>0</v>
      </c>
      <c r="O106" s="35">
        <f>O50</f>
        <v>0</v>
      </c>
      <c r="P106" s="35">
        <f>ABS(N106-O106)</f>
        <v>0</v>
      </c>
    </row>
    <row r="107" spans="13:16" customFormat="1" x14ac:dyDescent="0.25">
      <c r="M107" t="s">
        <v>25</v>
      </c>
      <c r="N107" s="35">
        <f>N106+'Version 4 (LI)'!$B$17+'Version 4 (LI)'!$C$16</f>
        <v>5.5555555555555558E-3</v>
      </c>
      <c r="O107" s="35">
        <f t="shared" ref="O107:O120" si="35">O51</f>
        <v>3.0864197530864196E-3</v>
      </c>
      <c r="P107" s="35">
        <f t="shared" ref="P107:P120" si="36">ABS(N107-O107)</f>
        <v>2.4691358024691362E-3</v>
      </c>
    </row>
    <row r="108" spans="13:16" customFormat="1" x14ac:dyDescent="0.25">
      <c r="M108" t="s">
        <v>26</v>
      </c>
      <c r="N108" s="35">
        <f>N107+'Version 4 (LI)'!$B$18+'Version 4 (LI)'!$C$17+'Version 4 (LI)'!$D$16</f>
        <v>2.7777777777777776E-2</v>
      </c>
      <c r="O108" s="35">
        <f t="shared" si="35"/>
        <v>6.1728395061728392E-3</v>
      </c>
      <c r="P108" s="35">
        <f t="shared" si="36"/>
        <v>2.1604938271604937E-2</v>
      </c>
    </row>
    <row r="109" spans="13:16" customFormat="1" x14ac:dyDescent="0.25">
      <c r="M109" t="s">
        <v>27</v>
      </c>
      <c r="N109" s="35">
        <f>N108+'Version 4 (LI)'!$B$19+'Version 4 (LI)'!$C$18+'Version 4 (LI)'!$D$17+'Version 4 (LI)'!$E$16</f>
        <v>4.7222222222222221E-2</v>
      </c>
      <c r="O109" s="35">
        <f t="shared" si="35"/>
        <v>3.0864197530864196E-2</v>
      </c>
      <c r="P109" s="35">
        <f t="shared" si="36"/>
        <v>1.6358024691358025E-2</v>
      </c>
    </row>
    <row r="110" spans="13:16" customFormat="1" x14ac:dyDescent="0.25">
      <c r="M110" t="s">
        <v>28</v>
      </c>
      <c r="N110" s="35">
        <f>N109+'Version 4 (LI)'!$B$20+'Version 4 (LI)'!$C$19+'Version 4 (LI)'!$D$18+'Version 4 (LI)'!$E$17+'Version 4 (LI)'!$F$16</f>
        <v>8.6111111111111097E-2</v>
      </c>
      <c r="O110" s="35">
        <f t="shared" si="35"/>
        <v>0.1111111111111111</v>
      </c>
      <c r="P110" s="35">
        <f t="shared" si="36"/>
        <v>2.5000000000000008E-2</v>
      </c>
    </row>
    <row r="111" spans="13:16" customFormat="1" x14ac:dyDescent="0.25">
      <c r="M111" t="s">
        <v>29</v>
      </c>
      <c r="N111" s="35">
        <f>N110+'Version 4 (LI)'!$B$21+'Version 4 (LI)'!$C$20+'Version 4 (LI)'!$D$19+'Version 4 (LI)'!$E$18+'Version 4 (LI)'!$F$17+'Version 4 (LI)'!$G$16</f>
        <v>0.18888888888888886</v>
      </c>
      <c r="O111" s="35">
        <f t="shared" si="35"/>
        <v>0.20987654320987659</v>
      </c>
      <c r="P111" s="35">
        <f t="shared" si="36"/>
        <v>2.0987654320987731E-2</v>
      </c>
    </row>
    <row r="112" spans="13:16" customFormat="1" x14ac:dyDescent="0.25">
      <c r="M112" t="s">
        <v>30</v>
      </c>
      <c r="N112" s="35">
        <f>N111+'Version 4 (LI)'!$B$22+'Version 4 (LI)'!$C$21+'Version 4 (LI)'!$D$20+'Version 4 (LI)'!$E$19+'Version 4 (LI)'!$F$18+'Version 4 (LI)'!$G$17+'Version 4 (LI)'!$H$16</f>
        <v>0.43611111111111106</v>
      </c>
      <c r="O112" s="35">
        <f t="shared" si="35"/>
        <v>0.43518518518518523</v>
      </c>
      <c r="P112" s="35">
        <f t="shared" si="36"/>
        <v>9.2592592592583012E-4</v>
      </c>
    </row>
    <row r="113" spans="13:16" customFormat="1" x14ac:dyDescent="0.25">
      <c r="M113" t="s">
        <v>31</v>
      </c>
      <c r="N113" s="35">
        <f>N112+'Version 4 (LI)'!$B$23+'Version 4 (LI)'!$C$22+'Version 4 (LI)'!$D$21+'Version 4 (LI)'!$E$20+'Version 4 (LI)'!$F$19+'Version 4 (LI)'!$G$18+'Version 4 (LI)'!$H$17+'Version 4 (LI)'!$I$16</f>
        <v>0.80555555555555547</v>
      </c>
      <c r="O113" s="35">
        <f t="shared" si="35"/>
        <v>0.79320987654320996</v>
      </c>
      <c r="P113" s="35">
        <f t="shared" si="36"/>
        <v>1.2345679012345512E-2</v>
      </c>
    </row>
    <row r="114" spans="13:16" customFormat="1" x14ac:dyDescent="0.25">
      <c r="M114" t="s">
        <v>32</v>
      </c>
      <c r="N114" s="35">
        <f>N113+'Version 4 (LI)'!$C$23+'Version 4 (LI)'!$D$22+'Version 4 (LI)'!$E$21+'Version 4 (LI)'!$F$20+'Version 4 (LI)'!$G$19+'Version 4 (LI)'!$H$18+'Version 4 (LI)'!$I$17</f>
        <v>0.9277777777777777</v>
      </c>
      <c r="O114" s="35">
        <f t="shared" si="35"/>
        <v>0.89506172839506182</v>
      </c>
      <c r="P114" s="35">
        <f t="shared" si="36"/>
        <v>3.2716049382715884E-2</v>
      </c>
    </row>
    <row r="115" spans="13:16" customFormat="1" x14ac:dyDescent="0.25">
      <c r="M115" t="s">
        <v>33</v>
      </c>
      <c r="N115" s="35">
        <f>N114+'Version 4 (LI)'!$D$23+'Version 4 (LI)'!$E$22+'Version 4 (LI)'!$F$21+'Version 4 (LI)'!$G$20+'Version 4 (LI)'!$H$19+'Version 4 (LI)'!$I$18</f>
        <v>0.9638888888888888</v>
      </c>
      <c r="O115" s="35">
        <f t="shared" si="35"/>
        <v>0.9506172839506174</v>
      </c>
      <c r="P115" s="35">
        <f t="shared" si="36"/>
        <v>1.3271604938271397E-2</v>
      </c>
    </row>
    <row r="116" spans="13:16" customFormat="1" x14ac:dyDescent="0.25">
      <c r="M116" t="s">
        <v>34</v>
      </c>
      <c r="N116" s="35">
        <f>N115+'Version 4 (LI)'!$E$23+'Version 4 (LI)'!$F$22+'Version 4 (LI)'!$G$21+'Version 4 (LI)'!$H$20+'Version 4 (LI)'!$I$19</f>
        <v>0.98333333333333317</v>
      </c>
      <c r="O116" s="35">
        <f t="shared" si="35"/>
        <v>0.98765432098765449</v>
      </c>
      <c r="P116" s="35">
        <f t="shared" si="36"/>
        <v>4.3209876543213177E-3</v>
      </c>
    </row>
    <row r="117" spans="13:16" customFormat="1" x14ac:dyDescent="0.25">
      <c r="M117" t="s">
        <v>35</v>
      </c>
      <c r="N117" s="35">
        <f>N116+'Version 4 (LI)'!$F$23+'Version 4 (LI)'!$G$22+'Version 4 (LI)'!$H$21+'Version 4 (LI)'!$I$20</f>
        <v>0.99166666666666647</v>
      </c>
      <c r="O117" s="35">
        <f t="shared" si="35"/>
        <v>0.99691358024691379</v>
      </c>
      <c r="P117" s="35">
        <f t="shared" si="36"/>
        <v>5.2469135802473144E-3</v>
      </c>
    </row>
    <row r="118" spans="13:16" customFormat="1" x14ac:dyDescent="0.25">
      <c r="M118" t="s">
        <v>36</v>
      </c>
      <c r="N118" s="35">
        <f>N117+'Version 4 (LI)'!$G$23+'Version 4 (LI)'!$H$22+'Version 4 (LI)'!$I$21</f>
        <v>0.99166666666666647</v>
      </c>
      <c r="O118" s="35">
        <f t="shared" si="35"/>
        <v>1.0000000000000002</v>
      </c>
      <c r="P118" s="35">
        <f t="shared" si="36"/>
        <v>8.3333333333337478E-3</v>
      </c>
    </row>
    <row r="119" spans="13:16" customFormat="1" x14ac:dyDescent="0.25">
      <c r="M119" t="s">
        <v>37</v>
      </c>
      <c r="N119" s="35">
        <f>N118+'Version 4 (LI)'!$H$23+'Version 4 (LI)'!$I$22</f>
        <v>0.99722222222222201</v>
      </c>
      <c r="O119" s="35">
        <f t="shared" si="35"/>
        <v>1.0000000000000002</v>
      </c>
      <c r="P119" s="35">
        <f t="shared" si="36"/>
        <v>2.777777777778212E-3</v>
      </c>
    </row>
    <row r="120" spans="13:16" customFormat="1" x14ac:dyDescent="0.25">
      <c r="M120" t="s">
        <v>38</v>
      </c>
      <c r="N120" s="35">
        <f>N119+'Version 4 (LI)'!$I$23</f>
        <v>0.99999999999999978</v>
      </c>
      <c r="O120" s="35">
        <f t="shared" si="35"/>
        <v>1.0000000000000002</v>
      </c>
      <c r="P120" s="35">
        <f t="shared" si="36"/>
        <v>4.4408920985006262E-16</v>
      </c>
    </row>
    <row r="121" spans="13:16" customFormat="1" x14ac:dyDescent="0.25">
      <c r="M121" t="s">
        <v>15</v>
      </c>
      <c r="N121" s="35"/>
      <c r="O121" s="35"/>
      <c r="P121" s="35">
        <f>MAX(P106:P120)</f>
        <v>3.2716049382715884E-2</v>
      </c>
    </row>
    <row r="122" spans="13:16" customFormat="1" x14ac:dyDescent="0.25">
      <c r="M122" t="s">
        <v>163</v>
      </c>
    </row>
    <row r="123" spans="13:16" customFormat="1" x14ac:dyDescent="0.25">
      <c r="M123" t="s">
        <v>40</v>
      </c>
      <c r="N123" s="35">
        <f>'Version 5 (LE)'!N67</f>
        <v>2.2222222222222223E-2</v>
      </c>
      <c r="O123" s="35">
        <f>O67</f>
        <v>3.0864197530864196E-3</v>
      </c>
      <c r="P123" s="35">
        <f>ABS(N123-O123)</f>
        <v>1.9135802469135803E-2</v>
      </c>
    </row>
    <row r="124" spans="13:16" customFormat="1" x14ac:dyDescent="0.25">
      <c r="M124" t="s">
        <v>41</v>
      </c>
      <c r="N124" s="35">
        <f>'Version 5 (LE)'!N68</f>
        <v>3.0555555555555558E-2</v>
      </c>
      <c r="O124" s="35">
        <f t="shared" ref="O124:O137" si="37">O68</f>
        <v>6.1728395061728392E-3</v>
      </c>
      <c r="P124" s="35">
        <f t="shared" ref="P124:P137" si="38">ABS(N124-O124)</f>
        <v>2.4382716049382719E-2</v>
      </c>
    </row>
    <row r="125" spans="13:16" customFormat="1" x14ac:dyDescent="0.25">
      <c r="M125" t="s">
        <v>42</v>
      </c>
      <c r="N125" s="35">
        <f>'Version 5 (LE)'!N69</f>
        <v>4.4444444444444446E-2</v>
      </c>
      <c r="O125" s="35">
        <f t="shared" si="37"/>
        <v>2.1604938271604937E-2</v>
      </c>
      <c r="P125" s="35">
        <f t="shared" si="38"/>
        <v>2.2839506172839509E-2</v>
      </c>
    </row>
    <row r="126" spans="13:16" customFormat="1" x14ac:dyDescent="0.25">
      <c r="M126" t="s">
        <v>43</v>
      </c>
      <c r="N126" s="35">
        <f>'Version 5 (LE)'!N70</f>
        <v>5.2777777777777778E-2</v>
      </c>
      <c r="O126" s="35">
        <f t="shared" si="37"/>
        <v>4.9382716049382713E-2</v>
      </c>
      <c r="P126" s="35">
        <f t="shared" si="38"/>
        <v>3.3950617283950643E-3</v>
      </c>
    </row>
    <row r="127" spans="13:16" customFormat="1" x14ac:dyDescent="0.25">
      <c r="M127" t="s">
        <v>44</v>
      </c>
      <c r="N127" s="35">
        <f>'Version 5 (LE)'!N71</f>
        <v>0.11944444444444444</v>
      </c>
      <c r="O127" s="35">
        <f t="shared" si="37"/>
        <v>0.12654320987654322</v>
      </c>
      <c r="P127" s="35">
        <f t="shared" si="38"/>
        <v>7.0987654320987803E-3</v>
      </c>
    </row>
    <row r="128" spans="13:16" customFormat="1" x14ac:dyDescent="0.25">
      <c r="M128" t="s">
        <v>45</v>
      </c>
      <c r="N128" s="35">
        <f>'Version 5 (LE)'!N72</f>
        <v>0.24444444444444444</v>
      </c>
      <c r="O128" s="35">
        <f t="shared" si="37"/>
        <v>0.2067901234567901</v>
      </c>
      <c r="P128" s="35">
        <f t="shared" si="38"/>
        <v>3.7654320987654338E-2</v>
      </c>
    </row>
    <row r="129" spans="13:23" customFormat="1" x14ac:dyDescent="0.25">
      <c r="M129" t="s">
        <v>46</v>
      </c>
      <c r="N129" s="35">
        <f>'Version 5 (LE)'!N73</f>
        <v>0.38055555555555559</v>
      </c>
      <c r="O129" s="35">
        <f t="shared" si="37"/>
        <v>0.40123456790123452</v>
      </c>
      <c r="P129" s="35">
        <f t="shared" si="38"/>
        <v>2.0679012345678927E-2</v>
      </c>
    </row>
    <row r="130" spans="13:23" customFormat="1" x14ac:dyDescent="0.25">
      <c r="M130" t="s">
        <v>47</v>
      </c>
      <c r="N130" s="35">
        <f>'Version 5 (LE)'!N74</f>
        <v>0.56944444444444442</v>
      </c>
      <c r="O130" s="35">
        <f t="shared" si="37"/>
        <v>0.62962962962962954</v>
      </c>
      <c r="P130" s="35">
        <f t="shared" si="38"/>
        <v>6.0185185185185119E-2</v>
      </c>
    </row>
    <row r="131" spans="13:23" customFormat="1" x14ac:dyDescent="0.25">
      <c r="M131" t="s">
        <v>48</v>
      </c>
      <c r="N131" s="35">
        <f>'Version 5 (LE)'!N75</f>
        <v>0.76111111111111107</v>
      </c>
      <c r="O131" s="35">
        <f t="shared" si="37"/>
        <v>0.81172839506172834</v>
      </c>
      <c r="P131" s="35">
        <f t="shared" si="38"/>
        <v>5.0617283950617264E-2</v>
      </c>
    </row>
    <row r="132" spans="13:23" customFormat="1" x14ac:dyDescent="0.25">
      <c r="M132" t="s">
        <v>49</v>
      </c>
      <c r="N132" s="35">
        <f>'Version 5 (LE)'!N76</f>
        <v>0.85</v>
      </c>
      <c r="O132" s="35">
        <f t="shared" si="37"/>
        <v>0.89506172839506171</v>
      </c>
      <c r="P132" s="35">
        <f t="shared" si="38"/>
        <v>4.5061728395061729E-2</v>
      </c>
    </row>
    <row r="133" spans="13:23" customFormat="1" x14ac:dyDescent="0.25">
      <c r="M133" t="s">
        <v>50</v>
      </c>
      <c r="N133" s="35">
        <f>'Version 5 (LE)'!N77</f>
        <v>0.93055555555555547</v>
      </c>
      <c r="O133" s="35">
        <f t="shared" si="37"/>
        <v>0.94753086419753074</v>
      </c>
      <c r="P133" s="35">
        <f t="shared" si="38"/>
        <v>1.6975308641975273E-2</v>
      </c>
    </row>
    <row r="134" spans="13:23" customFormat="1" x14ac:dyDescent="0.25">
      <c r="M134" t="s">
        <v>51</v>
      </c>
      <c r="N134" s="35">
        <f>'Version 5 (LE)'!N78</f>
        <v>0.95833333333333326</v>
      </c>
      <c r="O134" s="35">
        <f t="shared" si="37"/>
        <v>0.9722222222222221</v>
      </c>
      <c r="P134" s="35">
        <f t="shared" si="38"/>
        <v>1.388888888888884E-2</v>
      </c>
    </row>
    <row r="135" spans="13:23" customFormat="1" x14ac:dyDescent="0.25">
      <c r="M135" t="s">
        <v>52</v>
      </c>
      <c r="N135" s="35">
        <f>'Version 5 (LE)'!N79</f>
        <v>0.99166666666666659</v>
      </c>
      <c r="O135" s="35">
        <f t="shared" si="37"/>
        <v>0.99382716049382702</v>
      </c>
      <c r="P135" s="35">
        <f t="shared" si="38"/>
        <v>2.1604938271604368E-3</v>
      </c>
    </row>
    <row r="136" spans="13:23" customFormat="1" x14ac:dyDescent="0.25">
      <c r="M136" t="s">
        <v>53</v>
      </c>
      <c r="N136" s="35">
        <f>'Version 5 (LE)'!N80</f>
        <v>0.99722222222222212</v>
      </c>
      <c r="O136" s="35">
        <f t="shared" si="37"/>
        <v>0.99691358024691346</v>
      </c>
      <c r="P136" s="35">
        <f t="shared" si="38"/>
        <v>3.0864197530866555E-4</v>
      </c>
    </row>
    <row r="137" spans="13:23" customFormat="1" x14ac:dyDescent="0.25">
      <c r="M137" t="s">
        <v>54</v>
      </c>
      <c r="N137" s="35">
        <f>'Version 5 (LE)'!N81</f>
        <v>0.99999999999999989</v>
      </c>
      <c r="O137" s="35">
        <f t="shared" si="37"/>
        <v>0.99999999999999989</v>
      </c>
      <c r="P137" s="35">
        <f t="shared" si="38"/>
        <v>0</v>
      </c>
    </row>
    <row r="138" spans="13:23" customFormat="1" x14ac:dyDescent="0.25">
      <c r="M138" t="s">
        <v>15</v>
      </c>
      <c r="P138" s="35">
        <f>MAX(P123:P137)</f>
        <v>6.0185185185185119E-2</v>
      </c>
    </row>
    <row r="140" spans="13:23" customFormat="1" x14ac:dyDescent="0.25">
      <c r="M140" s="37" t="s">
        <v>187</v>
      </c>
      <c r="T140" t="s">
        <v>153</v>
      </c>
    </row>
    <row r="141" spans="13:23" customFormat="1" x14ac:dyDescent="0.25">
      <c r="M141" t="s">
        <v>160</v>
      </c>
      <c r="N141" t="s">
        <v>14</v>
      </c>
      <c r="O141" t="s">
        <v>178</v>
      </c>
      <c r="P141" t="s">
        <v>39</v>
      </c>
      <c r="T141" t="s">
        <v>145</v>
      </c>
      <c r="U141" t="s">
        <v>146</v>
      </c>
      <c r="V141" t="s">
        <v>150</v>
      </c>
    </row>
    <row r="142" spans="13:23" customFormat="1" x14ac:dyDescent="0.25">
      <c r="M142" t="s">
        <v>6</v>
      </c>
      <c r="N142" s="35">
        <f>'Version 5 (LE)'!O30</f>
        <v>1.0273972602739725E-2</v>
      </c>
      <c r="O142" s="35">
        <f>$B$24</f>
        <v>1.5432098765432098E-2</v>
      </c>
      <c r="P142" s="35">
        <f t="shared" ref="P142:P149" si="39">ABS(N142-O142)</f>
        <v>5.1581261626923725E-3</v>
      </c>
      <c r="T142">
        <v>0.1</v>
      </c>
      <c r="U142">
        <v>1.22</v>
      </c>
      <c r="V142">
        <f>SQRT((T147+T148)/(T147*T148))</f>
        <v>0.16138249331737312</v>
      </c>
      <c r="W142">
        <f>PRODUCT(V142, U142)</f>
        <v>0.1968866418471952</v>
      </c>
    </row>
    <row r="143" spans="13:23" customFormat="1" x14ac:dyDescent="0.25">
      <c r="M143" t="s">
        <v>7</v>
      </c>
      <c r="N143" s="35">
        <f>'Version 5 (LE)'!O31</f>
        <v>5.8219178082191778E-2</v>
      </c>
      <c r="O143" s="35">
        <f>$B$24+$C$24</f>
        <v>6.4814814814814811E-2</v>
      </c>
      <c r="P143" s="35">
        <f t="shared" si="39"/>
        <v>6.5956367326230336E-3</v>
      </c>
      <c r="T143">
        <v>0.05</v>
      </c>
      <c r="U143">
        <v>1.36</v>
      </c>
      <c r="W143">
        <f>V142*U143</f>
        <v>0.21948019091162746</v>
      </c>
    </row>
    <row r="144" spans="13:23" customFormat="1" x14ac:dyDescent="0.25">
      <c r="M144" t="s">
        <v>8</v>
      </c>
      <c r="N144" s="35">
        <f>'Version 5 (LE)'!O32</f>
        <v>0.27397260273972601</v>
      </c>
      <c r="O144" s="35">
        <f>$B$24+$C$24+$D$24</f>
        <v>0.23456790123456789</v>
      </c>
      <c r="P144" s="35">
        <f t="shared" si="39"/>
        <v>3.9404701505158124E-2</v>
      </c>
      <c r="T144">
        <v>0.01</v>
      </c>
      <c r="U144">
        <v>1.63</v>
      </c>
      <c r="W144">
        <f>V142*U144</f>
        <v>0.26305346410731817</v>
      </c>
    </row>
    <row r="145" spans="13:22" customFormat="1" x14ac:dyDescent="0.25">
      <c r="M145" t="s">
        <v>9</v>
      </c>
      <c r="N145" s="35">
        <f>'Version 5 (LE)'!O33</f>
        <v>0.59589041095890405</v>
      </c>
      <c r="O145" s="35">
        <f>SUM($B$24:$E$24)</f>
        <v>0.60802469135802473</v>
      </c>
      <c r="P145" s="35">
        <f t="shared" si="39"/>
        <v>1.2134280399120678E-2</v>
      </c>
      <c r="R145" t="s">
        <v>295</v>
      </c>
      <c r="V145" s="35">
        <f>MAX(P150, P160, P177)</f>
        <v>9.4452900388973471E-2</v>
      </c>
    </row>
    <row r="146" spans="13:22" customFormat="1" x14ac:dyDescent="0.25">
      <c r="M146" t="s">
        <v>10</v>
      </c>
      <c r="N146" s="35">
        <f>'Version 5 (LE)'!O34</f>
        <v>0.75</v>
      </c>
      <c r="O146" s="35">
        <f>SUM($B$24:$F$24)</f>
        <v>0.80555555555555558</v>
      </c>
      <c r="P146" s="35">
        <f t="shared" si="39"/>
        <v>5.555555555555558E-2</v>
      </c>
      <c r="T146" t="s">
        <v>147</v>
      </c>
    </row>
    <row r="147" spans="13:22" customFormat="1" x14ac:dyDescent="0.25">
      <c r="M147" t="s">
        <v>11</v>
      </c>
      <c r="N147" s="35">
        <f>'Version 5 (LE)'!O35</f>
        <v>0.94178082191780821</v>
      </c>
      <c r="O147" s="35">
        <f>SUM($B$24:$G$24)</f>
        <v>0.96296296296296302</v>
      </c>
      <c r="P147" s="35">
        <f t="shared" si="39"/>
        <v>2.1182141045154812E-2</v>
      </c>
      <c r="S147" t="s">
        <v>149</v>
      </c>
      <c r="T147">
        <v>73</v>
      </c>
    </row>
    <row r="148" spans="13:22" customFormat="1" x14ac:dyDescent="0.25">
      <c r="M148" t="s">
        <v>12</v>
      </c>
      <c r="N148" s="35">
        <f>'Version 5 (LE)'!O36</f>
        <v>0.96917808219178081</v>
      </c>
      <c r="O148" s="35">
        <f>SUM($B$24:$H$24)</f>
        <v>0.98765432098765438</v>
      </c>
      <c r="P148" s="35">
        <f t="shared" si="39"/>
        <v>1.8476238795873567E-2</v>
      </c>
      <c r="S148" t="s">
        <v>186</v>
      </c>
      <c r="T148">
        <v>81</v>
      </c>
    </row>
    <row r="149" spans="13:22" customFormat="1" x14ac:dyDescent="0.25">
      <c r="M149" t="s">
        <v>22</v>
      </c>
      <c r="N149" s="35">
        <f>'Version 5 (LE)'!O37</f>
        <v>1</v>
      </c>
      <c r="O149" s="35">
        <f>SUM($B$24:$I$24)</f>
        <v>1</v>
      </c>
      <c r="P149" s="35">
        <f t="shared" si="39"/>
        <v>0</v>
      </c>
    </row>
    <row r="150" spans="13:22" customFormat="1" x14ac:dyDescent="0.25">
      <c r="M150" t="s">
        <v>15</v>
      </c>
      <c r="N150" s="35"/>
      <c r="P150" s="35">
        <f>MAX(P142:P149)</f>
        <v>5.555555555555558E-2</v>
      </c>
    </row>
    <row r="151" spans="13:22" customFormat="1" x14ac:dyDescent="0.25">
      <c r="M151" t="s">
        <v>161</v>
      </c>
      <c r="N151" s="35"/>
    </row>
    <row r="152" spans="13:22" customFormat="1" x14ac:dyDescent="0.25">
      <c r="M152" t="s">
        <v>93</v>
      </c>
      <c r="N152" s="35">
        <f>'Version 5 (LE)'!O40</f>
        <v>8.5616438356164379E-2</v>
      </c>
      <c r="O152" s="35">
        <f>$J$16</f>
        <v>2.4691358024691357E-2</v>
      </c>
      <c r="P152" s="35">
        <f>ABS(N152-O152)</f>
        <v>6.0925080331473022E-2</v>
      </c>
    </row>
    <row r="153" spans="13:22" customFormat="1" x14ac:dyDescent="0.25">
      <c r="M153" t="s">
        <v>16</v>
      </c>
      <c r="N153" s="35">
        <f>'Version 5 (LE)'!O41</f>
        <v>0.1404109589041096</v>
      </c>
      <c r="O153" s="35">
        <f>SUM($J$16:$J$17)</f>
        <v>8.0246913580246909E-2</v>
      </c>
      <c r="P153" s="35">
        <f t="shared" ref="P153:P159" si="40">ABS(N153-O153)</f>
        <v>6.0164045323862686E-2</v>
      </c>
    </row>
    <row r="154" spans="13:22" customFormat="1" x14ac:dyDescent="0.25">
      <c r="M154" t="s">
        <v>17</v>
      </c>
      <c r="N154" s="35">
        <f>'Version 5 (LE)'!O42</f>
        <v>0.39383561643835618</v>
      </c>
      <c r="O154" s="35">
        <f>SUM($J$16:$J$18)</f>
        <v>0.29938271604938271</v>
      </c>
      <c r="P154" s="35">
        <f t="shared" si="40"/>
        <v>9.4452900388973471E-2</v>
      </c>
    </row>
    <row r="155" spans="13:22" customFormat="1" x14ac:dyDescent="0.25">
      <c r="M155" t="s">
        <v>18</v>
      </c>
      <c r="N155" s="35">
        <f>'Version 5 (LE)'!O43</f>
        <v>0.5547945205479452</v>
      </c>
      <c r="O155" s="35">
        <f>SUM($J$16:$J$19)</f>
        <v>0.58024691358024683</v>
      </c>
      <c r="P155" s="35">
        <f t="shared" si="40"/>
        <v>2.5452393032301623E-2</v>
      </c>
    </row>
    <row r="156" spans="13:22" customFormat="1" x14ac:dyDescent="0.25">
      <c r="M156" t="s">
        <v>19</v>
      </c>
      <c r="N156" s="35">
        <f>'Version 5 (LE)'!O44</f>
        <v>0.81164383561643838</v>
      </c>
      <c r="O156" s="35">
        <f>SUM($J$16:$J$20)</f>
        <v>0.82716049382716039</v>
      </c>
      <c r="P156" s="35">
        <f t="shared" si="40"/>
        <v>1.5516658210722012E-2</v>
      </c>
    </row>
    <row r="157" spans="13:22" customFormat="1" x14ac:dyDescent="0.25">
      <c r="M157" t="s">
        <v>20</v>
      </c>
      <c r="N157" s="35">
        <f>'Version 5 (LE)'!O45</f>
        <v>0.93493150684931514</v>
      </c>
      <c r="O157" s="35">
        <f>SUM($J$16:$J$21)</f>
        <v>0.93827160493827155</v>
      </c>
      <c r="P157" s="35">
        <f t="shared" si="40"/>
        <v>3.3400980889564114E-3</v>
      </c>
    </row>
    <row r="158" spans="13:22" customFormat="1" x14ac:dyDescent="0.25">
      <c r="M158" t="s">
        <v>21</v>
      </c>
      <c r="N158" s="35">
        <f>'Version 5 (LE)'!O46</f>
        <v>0.98287671232876717</v>
      </c>
      <c r="O158" s="35">
        <f>SUM($J$16:$J$22)</f>
        <v>0.9907407407407407</v>
      </c>
      <c r="P158" s="35">
        <f t="shared" si="40"/>
        <v>7.8640284119735337E-3</v>
      </c>
    </row>
    <row r="159" spans="13:22" customFormat="1" x14ac:dyDescent="0.25">
      <c r="M159" t="s">
        <v>23</v>
      </c>
      <c r="N159" s="35">
        <f>'Version 5 (LE)'!O47</f>
        <v>1</v>
      </c>
      <c r="O159" s="35">
        <f>SUM($J$16:$J$23)</f>
        <v>1</v>
      </c>
      <c r="P159" s="35">
        <f t="shared" si="40"/>
        <v>0</v>
      </c>
    </row>
    <row r="160" spans="13:22" customFormat="1" x14ac:dyDescent="0.25">
      <c r="M160" t="s">
        <v>15</v>
      </c>
      <c r="N160" s="35"/>
      <c r="P160" s="35">
        <f>MAX(P152:P159)</f>
        <v>9.4452900388973471E-2</v>
      </c>
    </row>
    <row r="161" spans="13:16" customFormat="1" x14ac:dyDescent="0.25">
      <c r="M161" t="s">
        <v>162</v>
      </c>
      <c r="N161" s="35"/>
    </row>
    <row r="162" spans="13:16" customFormat="1" x14ac:dyDescent="0.25">
      <c r="M162" t="s">
        <v>24</v>
      </c>
      <c r="N162" s="35">
        <f>'Version 5 (LE)'!O50</f>
        <v>0</v>
      </c>
      <c r="O162" s="35">
        <f>O50</f>
        <v>0</v>
      </c>
      <c r="P162" s="35">
        <f>ABS(N162-O162)</f>
        <v>0</v>
      </c>
    </row>
    <row r="163" spans="13:16" customFormat="1" x14ac:dyDescent="0.25">
      <c r="M163" t="s">
        <v>25</v>
      </c>
      <c r="N163" s="35">
        <f>'Version 5 (LE)'!O51</f>
        <v>1.0273972602739725E-2</v>
      </c>
      <c r="O163" s="35">
        <f t="shared" ref="O163:O176" si="41">O51</f>
        <v>3.0864197530864196E-3</v>
      </c>
      <c r="P163" s="35">
        <f t="shared" ref="P163:P176" si="42">ABS(N163-O163)</f>
        <v>7.1875528496533059E-3</v>
      </c>
    </row>
    <row r="164" spans="13:16" customFormat="1" x14ac:dyDescent="0.25">
      <c r="M164" t="s">
        <v>26</v>
      </c>
      <c r="N164" s="35">
        <f>'Version 5 (LE)'!O52</f>
        <v>4.1095890410958902E-2</v>
      </c>
      <c r="O164" s="35">
        <f t="shared" si="41"/>
        <v>6.1728395061728392E-3</v>
      </c>
      <c r="P164" s="35">
        <f t="shared" si="42"/>
        <v>3.4923050904786063E-2</v>
      </c>
    </row>
    <row r="165" spans="13:16" customFormat="1" x14ac:dyDescent="0.25">
      <c r="M165" t="s">
        <v>27</v>
      </c>
      <c r="N165" s="35">
        <f>'Version 5 (LE)'!O53</f>
        <v>6.8493150684931503E-2</v>
      </c>
      <c r="O165" s="35">
        <f t="shared" si="41"/>
        <v>3.0864197530864196E-2</v>
      </c>
      <c r="P165" s="35">
        <f t="shared" si="42"/>
        <v>3.7628953154067307E-2</v>
      </c>
    </row>
    <row r="166" spans="13:16" customFormat="1" x14ac:dyDescent="0.25">
      <c r="M166" t="s">
        <v>28</v>
      </c>
      <c r="N166" s="35">
        <f>'Version 5 (LE)'!O54</f>
        <v>0.16438356164383561</v>
      </c>
      <c r="O166" s="35">
        <f t="shared" si="41"/>
        <v>0.1111111111111111</v>
      </c>
      <c r="P166" s="35">
        <f t="shared" si="42"/>
        <v>5.3272450532724502E-2</v>
      </c>
    </row>
    <row r="167" spans="13:16" customFormat="1" x14ac:dyDescent="0.25">
      <c r="M167" t="s">
        <v>29</v>
      </c>
      <c r="N167" s="35">
        <f>'Version 5 (LE)'!O55</f>
        <v>0.29452054794520549</v>
      </c>
      <c r="O167" s="35">
        <f t="shared" si="41"/>
        <v>0.20987654320987659</v>
      </c>
      <c r="P167" s="35">
        <f t="shared" si="42"/>
        <v>8.4644004735328904E-2</v>
      </c>
    </row>
    <row r="168" spans="13:16" customFormat="1" x14ac:dyDescent="0.25">
      <c r="M168" t="s">
        <v>30</v>
      </c>
      <c r="N168" s="35">
        <f>'Version 5 (LE)'!O56</f>
        <v>0.4863013698630137</v>
      </c>
      <c r="O168" s="35">
        <f t="shared" si="41"/>
        <v>0.43518518518518523</v>
      </c>
      <c r="P168" s="35">
        <f t="shared" si="42"/>
        <v>5.1116184677828469E-2</v>
      </c>
    </row>
    <row r="169" spans="13:16" customFormat="1" x14ac:dyDescent="0.25">
      <c r="M169" t="s">
        <v>31</v>
      </c>
      <c r="N169" s="35">
        <f>'Version 5 (LE)'!O57</f>
        <v>0.74657534246575352</v>
      </c>
      <c r="O169" s="35">
        <f t="shared" si="41"/>
        <v>0.79320987654320996</v>
      </c>
      <c r="P169" s="35">
        <f t="shared" si="42"/>
        <v>4.6634534077456435E-2</v>
      </c>
    </row>
    <row r="170" spans="13:16" customFormat="1" x14ac:dyDescent="0.25">
      <c r="M170" t="s">
        <v>32</v>
      </c>
      <c r="N170" s="35">
        <f>'Version 5 (LE)'!O58</f>
        <v>0.84931506849315086</v>
      </c>
      <c r="O170" s="35">
        <f t="shared" si="41"/>
        <v>0.89506172839506182</v>
      </c>
      <c r="P170" s="35">
        <f t="shared" si="42"/>
        <v>4.5746659901910958E-2</v>
      </c>
    </row>
    <row r="171" spans="13:16" customFormat="1" x14ac:dyDescent="0.25">
      <c r="M171" t="s">
        <v>33</v>
      </c>
      <c r="N171" s="35">
        <f>'Version 5 (LE)'!O59</f>
        <v>0.91095890410958924</v>
      </c>
      <c r="O171" s="35">
        <f t="shared" si="41"/>
        <v>0.9506172839506174</v>
      </c>
      <c r="P171" s="35">
        <f t="shared" si="42"/>
        <v>3.9658379841028157E-2</v>
      </c>
    </row>
    <row r="172" spans="13:16" customFormat="1" x14ac:dyDescent="0.25">
      <c r="M172" t="s">
        <v>34</v>
      </c>
      <c r="N172" s="35">
        <f>'Version 5 (LE)'!O60</f>
        <v>0.96232876712328796</v>
      </c>
      <c r="O172" s="35">
        <f t="shared" si="41"/>
        <v>0.98765432098765449</v>
      </c>
      <c r="P172" s="35">
        <f t="shared" si="42"/>
        <v>2.5325553864366523E-2</v>
      </c>
    </row>
    <row r="173" spans="13:16" customFormat="1" x14ac:dyDescent="0.25">
      <c r="M173" t="s">
        <v>35</v>
      </c>
      <c r="N173" s="35">
        <f>'Version 5 (LE)'!O61</f>
        <v>0.98630136986301409</v>
      </c>
      <c r="O173" s="35">
        <f t="shared" si="41"/>
        <v>0.99691358024691379</v>
      </c>
      <c r="P173" s="35">
        <f t="shared" si="42"/>
        <v>1.0612210383899701E-2</v>
      </c>
    </row>
    <row r="174" spans="13:16" customFormat="1" x14ac:dyDescent="0.25">
      <c r="M174" t="s">
        <v>36</v>
      </c>
      <c r="N174" s="35">
        <f>'Version 5 (LE)'!O62</f>
        <v>0.98972602739726068</v>
      </c>
      <c r="O174" s="35">
        <f t="shared" si="41"/>
        <v>1.0000000000000002</v>
      </c>
      <c r="P174" s="35">
        <f t="shared" si="42"/>
        <v>1.0273972602739545E-2</v>
      </c>
    </row>
    <row r="175" spans="13:16" customFormat="1" x14ac:dyDescent="0.25">
      <c r="M175" t="s">
        <v>37</v>
      </c>
      <c r="N175" s="35">
        <f>'Version 5 (LE)'!O63</f>
        <v>0.99315068493150727</v>
      </c>
      <c r="O175" s="35">
        <f t="shared" si="41"/>
        <v>1.0000000000000002</v>
      </c>
      <c r="P175" s="35">
        <f t="shared" si="42"/>
        <v>6.849315068492956E-3</v>
      </c>
    </row>
    <row r="176" spans="13:16" customFormat="1" x14ac:dyDescent="0.25">
      <c r="M176" t="s">
        <v>38</v>
      </c>
      <c r="N176" s="35">
        <f>'Version 5 (LE)'!O64</f>
        <v>1.0000000000000004</v>
      </c>
      <c r="O176" s="35">
        <f t="shared" si="41"/>
        <v>1.0000000000000002</v>
      </c>
      <c r="P176" s="35">
        <f t="shared" si="42"/>
        <v>2.2204460492503131E-16</v>
      </c>
    </row>
    <row r="177" spans="13:16" customFormat="1" x14ac:dyDescent="0.25">
      <c r="M177" t="s">
        <v>15</v>
      </c>
      <c r="N177" s="35"/>
      <c r="O177" s="35"/>
      <c r="P177" s="35">
        <f>MAX(P162:P176)</f>
        <v>8.4644004735328904E-2</v>
      </c>
    </row>
    <row r="178" spans="13:16" customFormat="1" x14ac:dyDescent="0.25">
      <c r="M178" t="s">
        <v>163</v>
      </c>
      <c r="N178" s="35"/>
    </row>
    <row r="179" spans="13:16" customFormat="1" x14ac:dyDescent="0.25">
      <c r="M179" t="s">
        <v>40</v>
      </c>
      <c r="N179" s="35">
        <f>'Version 5 (LE)'!O67</f>
        <v>1.3698630136986301E-2</v>
      </c>
      <c r="O179" s="35">
        <f>O67</f>
        <v>3.0864197530864196E-3</v>
      </c>
      <c r="P179" s="35">
        <f>ABS(N179-O179)</f>
        <v>1.0612210383899881E-2</v>
      </c>
    </row>
    <row r="180" spans="13:16" customFormat="1" x14ac:dyDescent="0.25">
      <c r="M180" t="s">
        <v>41</v>
      </c>
      <c r="N180" s="35">
        <f>'Version 5 (LE)'!O68</f>
        <v>1.7123287671232876E-2</v>
      </c>
      <c r="O180" s="35">
        <f t="shared" ref="O180:O193" si="43">O68</f>
        <v>6.1728395061728392E-3</v>
      </c>
      <c r="P180" s="35">
        <f t="shared" ref="P180:P193" si="44">ABS(N180-O180)</f>
        <v>1.0950448165060037E-2</v>
      </c>
    </row>
    <row r="181" spans="13:16" customFormat="1" x14ac:dyDescent="0.25">
      <c r="M181" t="s">
        <v>42</v>
      </c>
      <c r="N181" s="35">
        <f>'Version 5 (LE)'!O69</f>
        <v>3.0821917808219176E-2</v>
      </c>
      <c r="O181" s="35">
        <f t="shared" si="43"/>
        <v>2.1604938271604937E-2</v>
      </c>
      <c r="P181" s="35">
        <f t="shared" si="44"/>
        <v>9.2169795366142393E-3</v>
      </c>
    </row>
    <row r="182" spans="13:16" customFormat="1" x14ac:dyDescent="0.25">
      <c r="M182" t="s">
        <v>43</v>
      </c>
      <c r="N182" s="35">
        <f>'Version 5 (LE)'!O70</f>
        <v>6.1643835616438353E-2</v>
      </c>
      <c r="O182" s="35">
        <f t="shared" si="43"/>
        <v>4.9382716049382713E-2</v>
      </c>
      <c r="P182" s="35">
        <f t="shared" si="44"/>
        <v>1.2261119567055639E-2</v>
      </c>
    </row>
    <row r="183" spans="13:16" customFormat="1" x14ac:dyDescent="0.25">
      <c r="M183" t="s">
        <v>44</v>
      </c>
      <c r="N183" s="35">
        <f>'Version 5 (LE)'!O71</f>
        <v>0.15753424657534248</v>
      </c>
      <c r="O183" s="35">
        <f t="shared" si="43"/>
        <v>0.12654320987654322</v>
      </c>
      <c r="P183" s="35">
        <f t="shared" si="44"/>
        <v>3.0991036698799268E-2</v>
      </c>
    </row>
    <row r="184" spans="13:16" customFormat="1" x14ac:dyDescent="0.25">
      <c r="M184" t="s">
        <v>45</v>
      </c>
      <c r="N184" s="35">
        <f>'Version 5 (LE)'!O72</f>
        <v>0.27397260273972607</v>
      </c>
      <c r="O184" s="35">
        <f t="shared" si="43"/>
        <v>0.2067901234567901</v>
      </c>
      <c r="P184" s="35">
        <f t="shared" si="44"/>
        <v>6.718247928293597E-2</v>
      </c>
    </row>
    <row r="185" spans="13:16" customFormat="1" x14ac:dyDescent="0.25">
      <c r="M185" t="s">
        <v>46</v>
      </c>
      <c r="N185" s="35">
        <f>'Version 5 (LE)'!O73</f>
        <v>0.4315068493150685</v>
      </c>
      <c r="O185" s="35">
        <f t="shared" si="43"/>
        <v>0.40123456790123452</v>
      </c>
      <c r="P185" s="35">
        <f t="shared" si="44"/>
        <v>3.0272281413833979E-2</v>
      </c>
    </row>
    <row r="186" spans="13:16" customFormat="1" x14ac:dyDescent="0.25">
      <c r="M186" t="s">
        <v>47</v>
      </c>
      <c r="N186" s="35">
        <f>'Version 5 (LE)'!O74</f>
        <v>0.6404109589041096</v>
      </c>
      <c r="O186" s="35">
        <f t="shared" si="43"/>
        <v>0.62962962962962954</v>
      </c>
      <c r="P186" s="35">
        <f t="shared" si="44"/>
        <v>1.0781329274480056E-2</v>
      </c>
    </row>
    <row r="187" spans="13:16" customFormat="1" x14ac:dyDescent="0.25">
      <c r="M187" t="s">
        <v>48</v>
      </c>
      <c r="N187" s="35">
        <f>'Version 5 (LE)'!O75</f>
        <v>0.81506849315068508</v>
      </c>
      <c r="O187" s="35">
        <f t="shared" si="43"/>
        <v>0.81172839506172834</v>
      </c>
      <c r="P187" s="35">
        <f t="shared" si="44"/>
        <v>3.3400980889567444E-3</v>
      </c>
    </row>
    <row r="188" spans="13:16" customFormat="1" x14ac:dyDescent="0.25">
      <c r="M188" t="s">
        <v>49</v>
      </c>
      <c r="N188" s="35">
        <f>'Version 5 (LE)'!O76</f>
        <v>0.90753424657534265</v>
      </c>
      <c r="O188" s="35">
        <f t="shared" si="43"/>
        <v>0.89506172839506171</v>
      </c>
      <c r="P188" s="35">
        <f t="shared" si="44"/>
        <v>1.2472518180280945E-2</v>
      </c>
    </row>
    <row r="189" spans="13:16" customFormat="1" x14ac:dyDescent="0.25">
      <c r="M189" t="s">
        <v>50</v>
      </c>
      <c r="N189" s="35">
        <f>'Version 5 (LE)'!O77</f>
        <v>0.96575342465753455</v>
      </c>
      <c r="O189" s="35">
        <f t="shared" si="43"/>
        <v>0.94753086419753074</v>
      </c>
      <c r="P189" s="35">
        <f t="shared" si="44"/>
        <v>1.8222560460003812E-2</v>
      </c>
    </row>
    <row r="190" spans="13:16" customFormat="1" x14ac:dyDescent="0.25">
      <c r="M190" t="s">
        <v>51</v>
      </c>
      <c r="N190" s="35">
        <f>'Version 5 (LE)'!O78</f>
        <v>0.99315068493150727</v>
      </c>
      <c r="O190" s="35">
        <f t="shared" si="43"/>
        <v>0.9722222222222221</v>
      </c>
      <c r="P190" s="35">
        <f t="shared" si="44"/>
        <v>2.0928462709285167E-2</v>
      </c>
    </row>
    <row r="191" spans="13:16" customFormat="1" x14ac:dyDescent="0.25">
      <c r="M191" t="s">
        <v>52</v>
      </c>
      <c r="N191" s="35">
        <f>'Version 5 (LE)'!O79</f>
        <v>0.99657534246575386</v>
      </c>
      <c r="O191" s="35">
        <f t="shared" si="43"/>
        <v>0.99382716049382702</v>
      </c>
      <c r="P191" s="35">
        <f t="shared" si="44"/>
        <v>2.748181971926833E-3</v>
      </c>
    </row>
    <row r="192" spans="13:16" customFormat="1" x14ac:dyDescent="0.25">
      <c r="M192" t="s">
        <v>53</v>
      </c>
      <c r="N192" s="35">
        <f>'Version 5 (LE)'!O80</f>
        <v>1.0000000000000004</v>
      </c>
      <c r="O192" s="35">
        <f t="shared" si="43"/>
        <v>0.99691358024691346</v>
      </c>
      <c r="P192" s="35">
        <f t="shared" si="44"/>
        <v>3.0864197530869886E-3</v>
      </c>
    </row>
    <row r="193" spans="13:23" customFormat="1" x14ac:dyDescent="0.25">
      <c r="M193" t="s">
        <v>54</v>
      </c>
      <c r="N193" s="35">
        <f>'Version 5 (LE)'!O81</f>
        <v>1.0000000000000004</v>
      </c>
      <c r="O193" s="35">
        <f t="shared" si="43"/>
        <v>0.99999999999999989</v>
      </c>
      <c r="P193" s="35">
        <f t="shared" si="44"/>
        <v>5.5511151231257827E-16</v>
      </c>
    </row>
    <row r="194" spans="13:23" customFormat="1" x14ac:dyDescent="0.25">
      <c r="M194" t="s">
        <v>15</v>
      </c>
      <c r="P194" s="35">
        <f>MAX(P179:P193)</f>
        <v>6.718247928293597E-2</v>
      </c>
    </row>
    <row r="196" spans="13:23" customFormat="1" x14ac:dyDescent="0.25">
      <c r="M196" s="37" t="s">
        <v>188</v>
      </c>
      <c r="T196" t="s">
        <v>153</v>
      </c>
    </row>
    <row r="197" spans="13:23" customFormat="1" x14ac:dyDescent="0.25">
      <c r="M197" t="s">
        <v>160</v>
      </c>
      <c r="N197" t="s">
        <v>189</v>
      </c>
      <c r="O197" t="s">
        <v>178</v>
      </c>
      <c r="P197" t="s">
        <v>39</v>
      </c>
      <c r="T197" t="s">
        <v>145</v>
      </c>
      <c r="U197" t="s">
        <v>146</v>
      </c>
      <c r="V197" t="s">
        <v>150</v>
      </c>
    </row>
    <row r="198" spans="13:23" customFormat="1" x14ac:dyDescent="0.25">
      <c r="M198" t="s">
        <v>6</v>
      </c>
      <c r="N198" s="35">
        <f>'Version 5 (LE)'!AK30</f>
        <v>3.2894736842105261E-3</v>
      </c>
      <c r="O198" s="35">
        <f>$B$24</f>
        <v>1.5432098765432098E-2</v>
      </c>
      <c r="P198" s="35">
        <f t="shared" ref="P198:P205" si="45">ABS(N198-O198)</f>
        <v>1.2142625081221572E-2</v>
      </c>
      <c r="T198">
        <v>0.1</v>
      </c>
      <c r="U198">
        <v>1.22</v>
      </c>
      <c r="V198">
        <f>SQRT((T203+T204)/(T203*T204))</f>
        <v>0.15969838367744296</v>
      </c>
      <c r="W198">
        <f>PRODUCT(V198, U198)</f>
        <v>0.1948320280864804</v>
      </c>
    </row>
    <row r="199" spans="13:23" customFormat="1" x14ac:dyDescent="0.25">
      <c r="M199" t="s">
        <v>7</v>
      </c>
      <c r="N199" s="35">
        <f>'Version 5 (LE)'!AK31</f>
        <v>1.0642414860681114E-2</v>
      </c>
      <c r="O199" s="35">
        <f>$B$24+$C$24</f>
        <v>6.4814814814814811E-2</v>
      </c>
      <c r="P199" s="35">
        <f t="shared" si="45"/>
        <v>5.4172399954133699E-2</v>
      </c>
      <c r="T199">
        <v>0.05</v>
      </c>
      <c r="U199">
        <v>1.36</v>
      </c>
      <c r="W199">
        <f>V198*U199</f>
        <v>0.21718980180132244</v>
      </c>
    </row>
    <row r="200" spans="13:23" customFormat="1" x14ac:dyDescent="0.25">
      <c r="M200" t="s">
        <v>8</v>
      </c>
      <c r="N200" s="35">
        <f>'Version 5 (LE)'!AK32</f>
        <v>0.30921052631578949</v>
      </c>
      <c r="O200" s="35">
        <f>$B$24+$C$24+$D$24</f>
        <v>0.23456790123456789</v>
      </c>
      <c r="P200" s="35">
        <f t="shared" si="45"/>
        <v>7.4642625081221603E-2</v>
      </c>
      <c r="T200">
        <v>0.01</v>
      </c>
      <c r="U200">
        <v>1.63</v>
      </c>
      <c r="W200">
        <f>V198*U200</f>
        <v>0.26030836539423202</v>
      </c>
    </row>
    <row r="201" spans="13:23" customFormat="1" x14ac:dyDescent="0.25">
      <c r="M201" t="s">
        <v>9</v>
      </c>
      <c r="N201" s="35">
        <f>'Version 5 (LE)'!AK33</f>
        <v>0.69407894736842102</v>
      </c>
      <c r="O201" s="35">
        <f>SUM($B$24:$E$24)</f>
        <v>0.60802469135802473</v>
      </c>
      <c r="P201" s="35">
        <f t="shared" si="45"/>
        <v>8.6054256010396291E-2</v>
      </c>
      <c r="R201" t="s">
        <v>293</v>
      </c>
      <c r="V201" s="35">
        <f>MAX(P206, P216, P233)</f>
        <v>0.12958901884340468</v>
      </c>
    </row>
    <row r="202" spans="13:23" customFormat="1" x14ac:dyDescent="0.25">
      <c r="M202" t="s">
        <v>10</v>
      </c>
      <c r="N202" s="35">
        <f>'Version 5 (LE)'!AK34</f>
        <v>0.9078947368421052</v>
      </c>
      <c r="O202" s="35">
        <f>SUM($B$24:$F$24)</f>
        <v>0.80555555555555558</v>
      </c>
      <c r="P202" s="35">
        <f t="shared" si="45"/>
        <v>0.10233918128654962</v>
      </c>
      <c r="T202" t="s">
        <v>147</v>
      </c>
    </row>
    <row r="203" spans="13:23" customFormat="1" x14ac:dyDescent="0.25">
      <c r="M203" t="s">
        <v>11</v>
      </c>
      <c r="N203" s="35">
        <f>'Version 5 (LE)'!AK35</f>
        <v>0.96381578947368418</v>
      </c>
      <c r="O203" s="35">
        <f>SUM($B$24:$G$24)</f>
        <v>0.96296296296296302</v>
      </c>
      <c r="P203" s="35">
        <f t="shared" si="45"/>
        <v>8.5282651072116078E-4</v>
      </c>
      <c r="S203" t="s">
        <v>190</v>
      </c>
      <c r="T203">
        <v>76</v>
      </c>
    </row>
    <row r="204" spans="13:23" customFormat="1" x14ac:dyDescent="0.25">
      <c r="M204" t="s">
        <v>12</v>
      </c>
      <c r="N204" s="35">
        <f>'Version 5 (LE)'!AK36</f>
        <v>0.98355263157894735</v>
      </c>
      <c r="O204" s="35">
        <f>SUM($B$24:$H$24)</f>
        <v>0.98765432098765438</v>
      </c>
      <c r="P204" s="35">
        <f t="shared" si="45"/>
        <v>4.1016894087070321E-3</v>
      </c>
      <c r="S204" t="s">
        <v>186</v>
      </c>
      <c r="T204">
        <v>81</v>
      </c>
    </row>
    <row r="205" spans="13:23" customFormat="1" x14ac:dyDescent="0.25">
      <c r="M205" t="s">
        <v>22</v>
      </c>
      <c r="N205" s="35">
        <f>'Version 5 (LE)'!AK37</f>
        <v>1</v>
      </c>
      <c r="O205" s="35">
        <f>SUM($B$24:$I$24)</f>
        <v>1</v>
      </c>
      <c r="P205" s="35">
        <f t="shared" si="45"/>
        <v>0</v>
      </c>
    </row>
    <row r="206" spans="13:23" customFormat="1" x14ac:dyDescent="0.25">
      <c r="M206" t="s">
        <v>15</v>
      </c>
      <c r="N206" s="35"/>
      <c r="P206" s="35">
        <f>MAX(P198:P205)</f>
        <v>0.10233918128654962</v>
      </c>
    </row>
    <row r="207" spans="13:23" customFormat="1" x14ac:dyDescent="0.25">
      <c r="M207" t="s">
        <v>161</v>
      </c>
      <c r="N207" s="35"/>
    </row>
    <row r="208" spans="13:23" customFormat="1" x14ac:dyDescent="0.25">
      <c r="M208" t="s">
        <v>93</v>
      </c>
      <c r="N208" s="35">
        <f>'Version 5 (LE)'!AK40</f>
        <v>5.5921052631578941E-2</v>
      </c>
      <c r="O208" s="35">
        <f>$J$16</f>
        <v>2.4691358024691357E-2</v>
      </c>
      <c r="P208" s="35">
        <f>ABS(N208-O208)</f>
        <v>3.1229694606887584E-2</v>
      </c>
    </row>
    <row r="209" spans="13:16" customFormat="1" x14ac:dyDescent="0.25">
      <c r="M209" t="s">
        <v>16</v>
      </c>
      <c r="N209" s="35">
        <f>'Version 5 (LE)'!AK41</f>
        <v>0.10855263157894735</v>
      </c>
      <c r="O209" s="35">
        <f>SUM($J$16:$J$17)</f>
        <v>8.0246913580246909E-2</v>
      </c>
      <c r="P209" s="35">
        <f t="shared" ref="P209:P215" si="46">ABS(N209-O209)</f>
        <v>2.8305717998700436E-2</v>
      </c>
    </row>
    <row r="210" spans="13:16" customFormat="1" x14ac:dyDescent="0.25">
      <c r="M210" t="s">
        <v>17</v>
      </c>
      <c r="N210" s="35">
        <f>'Version 5 (LE)'!AK42</f>
        <v>0.23355263157894735</v>
      </c>
      <c r="O210" s="35">
        <f>SUM($J$16:$J$18)</f>
        <v>0.29938271604938271</v>
      </c>
      <c r="P210" s="35">
        <f t="shared" si="46"/>
        <v>6.5830084470435368E-2</v>
      </c>
    </row>
    <row r="211" spans="13:16" customFormat="1" x14ac:dyDescent="0.25">
      <c r="M211" t="s">
        <v>18</v>
      </c>
      <c r="N211" s="35">
        <f>'Version 5 (LE)'!AK43</f>
        <v>0.45065789473684215</v>
      </c>
      <c r="O211" s="35">
        <f>SUM($J$16:$J$19)</f>
        <v>0.58024691358024683</v>
      </c>
      <c r="P211" s="35">
        <f t="shared" si="46"/>
        <v>0.12958901884340468</v>
      </c>
    </row>
    <row r="212" spans="13:16" customFormat="1" x14ac:dyDescent="0.25">
      <c r="M212" t="s">
        <v>19</v>
      </c>
      <c r="N212" s="35">
        <f>'Version 5 (LE)'!AK44</f>
        <v>0.76973684210526327</v>
      </c>
      <c r="O212" s="35">
        <f>SUM($J$16:$J$20)</f>
        <v>0.82716049382716039</v>
      </c>
      <c r="P212" s="35">
        <f t="shared" si="46"/>
        <v>5.7423651721897118E-2</v>
      </c>
    </row>
    <row r="213" spans="13:16" customFormat="1" x14ac:dyDescent="0.25">
      <c r="M213" t="s">
        <v>20</v>
      </c>
      <c r="N213" s="35">
        <f>'Version 5 (LE)'!AK45</f>
        <v>0.90460526315789491</v>
      </c>
      <c r="O213" s="35">
        <f>SUM($J$16:$J$21)</f>
        <v>0.93827160493827155</v>
      </c>
      <c r="P213" s="35">
        <f t="shared" si="46"/>
        <v>3.3666341780376641E-2</v>
      </c>
    </row>
    <row r="214" spans="13:16" customFormat="1" x14ac:dyDescent="0.25">
      <c r="M214" t="s">
        <v>21</v>
      </c>
      <c r="N214" s="35">
        <f>'Version 5 (LE)'!AK46</f>
        <v>0.97697368421052655</v>
      </c>
      <c r="O214" s="35">
        <f>SUM($J$16:$J$22)</f>
        <v>0.9907407407407407</v>
      </c>
      <c r="P214" s="35">
        <f t="shared" si="46"/>
        <v>1.376705653021415E-2</v>
      </c>
    </row>
    <row r="215" spans="13:16" customFormat="1" x14ac:dyDescent="0.25">
      <c r="M215" t="s">
        <v>23</v>
      </c>
      <c r="N215" s="35">
        <f>'Version 5 (LE)'!AK47</f>
        <v>1.0000000000000002</v>
      </c>
      <c r="O215" s="35">
        <f>SUM($J$16:$J$23)</f>
        <v>1</v>
      </c>
      <c r="P215" s="35">
        <f t="shared" si="46"/>
        <v>2.2204460492503131E-16</v>
      </c>
    </row>
    <row r="216" spans="13:16" customFormat="1" x14ac:dyDescent="0.25">
      <c r="M216" t="s">
        <v>15</v>
      </c>
      <c r="N216" s="35"/>
      <c r="P216" s="35">
        <f>MAX(P208:P215)</f>
        <v>0.12958901884340468</v>
      </c>
    </row>
    <row r="217" spans="13:16" customFormat="1" x14ac:dyDescent="0.25">
      <c r="M217" t="s">
        <v>162</v>
      </c>
      <c r="N217" s="35"/>
    </row>
    <row r="218" spans="13:16" customFormat="1" x14ac:dyDescent="0.25">
      <c r="M218" t="s">
        <v>24</v>
      </c>
      <c r="N218" s="35">
        <f>'Version 5 (LE)'!AK50</f>
        <v>3.2894736842105261E-3</v>
      </c>
      <c r="O218" s="35">
        <f>O106</f>
        <v>0</v>
      </c>
      <c r="P218" s="35">
        <f>ABS(N218-O218)</f>
        <v>3.2894736842105261E-3</v>
      </c>
    </row>
    <row r="219" spans="13:16" customFormat="1" x14ac:dyDescent="0.25">
      <c r="M219" t="s">
        <v>25</v>
      </c>
      <c r="N219" s="35">
        <f>'Version 5 (LE)'!AK51</f>
        <v>1.3157894736842105E-2</v>
      </c>
      <c r="O219" s="35">
        <f t="shared" ref="O219:O232" si="47">O107</f>
        <v>3.0864197530864196E-3</v>
      </c>
      <c r="P219" s="35">
        <f t="shared" ref="P219:P232" si="48">ABS(N219-O219)</f>
        <v>1.0071474983755685E-2</v>
      </c>
    </row>
    <row r="220" spans="13:16" customFormat="1" x14ac:dyDescent="0.25">
      <c r="M220" t="s">
        <v>26</v>
      </c>
      <c r="N220" s="35">
        <f>'Version 5 (LE)'!AK52</f>
        <v>1.9736842105263157E-2</v>
      </c>
      <c r="O220" s="35">
        <f t="shared" si="47"/>
        <v>6.1728395061728392E-3</v>
      </c>
      <c r="P220" s="35">
        <f t="shared" si="48"/>
        <v>1.3564002599090318E-2</v>
      </c>
    </row>
    <row r="221" spans="13:16" customFormat="1" x14ac:dyDescent="0.25">
      <c r="M221" t="s">
        <v>27</v>
      </c>
      <c r="N221" s="35">
        <f>'Version 5 (LE)'!AK53</f>
        <v>5.5921052631578941E-2</v>
      </c>
      <c r="O221" s="35">
        <f t="shared" si="47"/>
        <v>3.0864197530864196E-2</v>
      </c>
      <c r="P221" s="35">
        <f t="shared" si="48"/>
        <v>2.5056855100714745E-2</v>
      </c>
    </row>
    <row r="222" spans="13:16" customFormat="1" x14ac:dyDescent="0.25">
      <c r="M222" t="s">
        <v>28</v>
      </c>
      <c r="N222" s="35">
        <f>'Version 5 (LE)'!AK54</f>
        <v>9.5394736842105254E-2</v>
      </c>
      <c r="O222" s="35">
        <f t="shared" si="47"/>
        <v>0.1111111111111111</v>
      </c>
      <c r="P222" s="35">
        <f t="shared" si="48"/>
        <v>1.5716374269005851E-2</v>
      </c>
    </row>
    <row r="223" spans="13:16" customFormat="1" x14ac:dyDescent="0.25">
      <c r="M223" t="s">
        <v>29</v>
      </c>
      <c r="N223" s="35">
        <f>'Version 5 (LE)'!AK55</f>
        <v>0.21710526315789469</v>
      </c>
      <c r="O223" s="35">
        <f t="shared" si="47"/>
        <v>0.20987654320987659</v>
      </c>
      <c r="P223" s="35">
        <f t="shared" si="48"/>
        <v>7.228719948018103E-3</v>
      </c>
    </row>
    <row r="224" spans="13:16" customFormat="1" x14ac:dyDescent="0.25">
      <c r="M224" t="s">
        <v>30</v>
      </c>
      <c r="N224" s="35">
        <f>'Version 5 (LE)'!AK56</f>
        <v>0.42434210526315785</v>
      </c>
      <c r="O224" s="35">
        <f t="shared" si="47"/>
        <v>0.43518518518518523</v>
      </c>
      <c r="P224" s="35">
        <f t="shared" si="48"/>
        <v>1.0843079922027377E-2</v>
      </c>
    </row>
    <row r="225" spans="13:16" customFormat="1" x14ac:dyDescent="0.25">
      <c r="M225" t="s">
        <v>31</v>
      </c>
      <c r="N225" s="35">
        <f>'Version 5 (LE)'!AK57</f>
        <v>0.7532894736842104</v>
      </c>
      <c r="O225" s="35">
        <f t="shared" si="47"/>
        <v>0.79320987654320996</v>
      </c>
      <c r="P225" s="35">
        <f t="shared" si="48"/>
        <v>3.992040285899956E-2</v>
      </c>
    </row>
    <row r="226" spans="13:16" customFormat="1" x14ac:dyDescent="0.25">
      <c r="M226" t="s">
        <v>32</v>
      </c>
      <c r="N226" s="35">
        <f>'Version 5 (LE)'!AK58</f>
        <v>0.90460526315789458</v>
      </c>
      <c r="O226" s="35">
        <f t="shared" si="47"/>
        <v>0.89506172839506182</v>
      </c>
      <c r="P226" s="35">
        <f t="shared" si="48"/>
        <v>9.5435347628327616E-3</v>
      </c>
    </row>
    <row r="227" spans="13:16" customFormat="1" x14ac:dyDescent="0.25">
      <c r="M227" t="s">
        <v>33</v>
      </c>
      <c r="N227" s="35">
        <f>'Version 5 (LE)'!AK59</f>
        <v>0.97039473684210509</v>
      </c>
      <c r="O227" s="35">
        <f t="shared" si="47"/>
        <v>0.9506172839506174</v>
      </c>
      <c r="P227" s="35">
        <f t="shared" si="48"/>
        <v>1.977745289148769E-2</v>
      </c>
    </row>
    <row r="228" spans="13:16" customFormat="1" x14ac:dyDescent="0.25">
      <c r="M228" t="s">
        <v>34</v>
      </c>
      <c r="N228" s="35">
        <f>'Version 5 (LE)'!AK60</f>
        <v>0.97697368421052611</v>
      </c>
      <c r="O228" s="35">
        <f t="shared" si="47"/>
        <v>0.98765432098765449</v>
      </c>
      <c r="P228" s="35">
        <f t="shared" si="48"/>
        <v>1.0680636777128383E-2</v>
      </c>
    </row>
    <row r="229" spans="13:16" customFormat="1" x14ac:dyDescent="0.25">
      <c r="M229" t="s">
        <v>35</v>
      </c>
      <c r="N229" s="35">
        <f>'Version 5 (LE)'!AK61</f>
        <v>0.98684210526315763</v>
      </c>
      <c r="O229" s="35">
        <f t="shared" si="47"/>
        <v>0.99691358024691379</v>
      </c>
      <c r="P229" s="35">
        <f t="shared" si="48"/>
        <v>1.0071474983756157E-2</v>
      </c>
    </row>
    <row r="230" spans="13:16" customFormat="1" x14ac:dyDescent="0.25">
      <c r="M230" t="s">
        <v>36</v>
      </c>
      <c r="N230" s="35">
        <f>'Version 5 (LE)'!AK62</f>
        <v>0.98684210526315763</v>
      </c>
      <c r="O230" s="35">
        <f t="shared" si="47"/>
        <v>1.0000000000000002</v>
      </c>
      <c r="P230" s="35">
        <f t="shared" si="48"/>
        <v>1.315789473684259E-2</v>
      </c>
    </row>
    <row r="231" spans="13:16" customFormat="1" x14ac:dyDescent="0.25">
      <c r="M231" t="s">
        <v>37</v>
      </c>
      <c r="N231" s="35">
        <f>'Version 5 (LE)'!AK63</f>
        <v>0.99013157894736814</v>
      </c>
      <c r="O231" s="35">
        <f t="shared" si="47"/>
        <v>1.0000000000000002</v>
      </c>
      <c r="P231" s="35">
        <f t="shared" si="48"/>
        <v>9.8684210526320815E-3</v>
      </c>
    </row>
    <row r="232" spans="13:16" customFormat="1" x14ac:dyDescent="0.25">
      <c r="M232" t="s">
        <v>38</v>
      </c>
      <c r="N232" s="35">
        <f>'Version 5 (LE)'!AK64</f>
        <v>0.99999999999999967</v>
      </c>
      <c r="O232" s="35">
        <f t="shared" si="47"/>
        <v>1.0000000000000002</v>
      </c>
      <c r="P232" s="35">
        <f t="shared" si="48"/>
        <v>5.5511151231257827E-16</v>
      </c>
    </row>
    <row r="233" spans="13:16" customFormat="1" x14ac:dyDescent="0.25">
      <c r="M233" t="s">
        <v>15</v>
      </c>
      <c r="N233" s="35"/>
      <c r="O233" s="35"/>
      <c r="P233" s="35">
        <f>MAX(P218:P232)</f>
        <v>3.992040285899956E-2</v>
      </c>
    </row>
    <row r="234" spans="13:16" customFormat="1" x14ac:dyDescent="0.25">
      <c r="M234" t="s">
        <v>163</v>
      </c>
      <c r="N234" s="35"/>
    </row>
    <row r="235" spans="13:16" customFormat="1" x14ac:dyDescent="0.25">
      <c r="M235" t="s">
        <v>40</v>
      </c>
      <c r="N235" s="35">
        <f>'Version 5 (LE)'!AK67</f>
        <v>3.2894736842105261E-3</v>
      </c>
      <c r="O235" s="35">
        <f>O123</f>
        <v>3.0864197530864196E-3</v>
      </c>
      <c r="P235" s="35">
        <f>ABS(N235-O235)</f>
        <v>2.0305393112410655E-4</v>
      </c>
    </row>
    <row r="236" spans="13:16" customFormat="1" x14ac:dyDescent="0.25">
      <c r="M236" t="s">
        <v>41</v>
      </c>
      <c r="N236" s="35">
        <f>'Version 5 (LE)'!AK68</f>
        <v>3.2894736842105261E-3</v>
      </c>
      <c r="O236" s="35">
        <f t="shared" ref="O236:O249" si="49">O124</f>
        <v>6.1728395061728392E-3</v>
      </c>
      <c r="P236" s="35">
        <f t="shared" ref="P236:P249" si="50">ABS(N236-O236)</f>
        <v>2.883365821962313E-3</v>
      </c>
    </row>
    <row r="237" spans="13:16" customFormat="1" x14ac:dyDescent="0.25">
      <c r="M237" t="s">
        <v>42</v>
      </c>
      <c r="N237" s="35">
        <f>'Version 5 (LE)'!AK69</f>
        <v>2.3026315789473683E-2</v>
      </c>
      <c r="O237" s="35">
        <f t="shared" si="49"/>
        <v>2.1604938271604937E-2</v>
      </c>
      <c r="P237" s="35">
        <f t="shared" si="50"/>
        <v>1.4213775178687459E-3</v>
      </c>
    </row>
    <row r="238" spans="13:16" customFormat="1" x14ac:dyDescent="0.25">
      <c r="M238" t="s">
        <v>43</v>
      </c>
      <c r="N238" s="35">
        <f>'Version 5 (LE)'!AK70</f>
        <v>3.9473684210526314E-2</v>
      </c>
      <c r="O238" s="35">
        <f t="shared" si="49"/>
        <v>4.9382716049382713E-2</v>
      </c>
      <c r="P238" s="35">
        <f t="shared" si="50"/>
        <v>9.9090318388563997E-3</v>
      </c>
    </row>
    <row r="239" spans="13:16" customFormat="1" x14ac:dyDescent="0.25">
      <c r="M239" t="s">
        <v>44</v>
      </c>
      <c r="N239" s="35">
        <f>'Version 5 (LE)'!AK71</f>
        <v>9.2105263157894718E-2</v>
      </c>
      <c r="O239" s="35">
        <f t="shared" si="49"/>
        <v>0.12654320987654322</v>
      </c>
      <c r="P239" s="35">
        <f t="shared" si="50"/>
        <v>3.4437946718648499E-2</v>
      </c>
    </row>
    <row r="240" spans="13:16" customFormat="1" x14ac:dyDescent="0.25">
      <c r="M240" t="s">
        <v>45</v>
      </c>
      <c r="N240" s="35">
        <f>'Version 5 (LE)'!AK72</f>
        <v>0.13815789473684209</v>
      </c>
      <c r="O240" s="35">
        <f t="shared" si="49"/>
        <v>0.2067901234567901</v>
      </c>
      <c r="P240" s="35">
        <f t="shared" si="50"/>
        <v>6.8632228719948007E-2</v>
      </c>
    </row>
    <row r="241" spans="13:23" customFormat="1" x14ac:dyDescent="0.25">
      <c r="M241" t="s">
        <v>46</v>
      </c>
      <c r="N241" s="35">
        <f>'Version 5 (LE)'!AK73</f>
        <v>0.29276315789473689</v>
      </c>
      <c r="O241" s="35">
        <f t="shared" si="49"/>
        <v>0.40123456790123452</v>
      </c>
      <c r="P241" s="35">
        <f t="shared" si="50"/>
        <v>0.10847141000649763</v>
      </c>
    </row>
    <row r="242" spans="13:23" customFormat="1" x14ac:dyDescent="0.25">
      <c r="M242" t="s">
        <v>47</v>
      </c>
      <c r="N242" s="35">
        <f>'Version 5 (LE)'!AK74</f>
        <v>0.50657894736842113</v>
      </c>
      <c r="O242" s="35">
        <f t="shared" si="49"/>
        <v>0.62962962962962954</v>
      </c>
      <c r="P242" s="35">
        <f t="shared" si="50"/>
        <v>0.12305068226120841</v>
      </c>
    </row>
    <row r="243" spans="13:23" customFormat="1" x14ac:dyDescent="0.25">
      <c r="M243" t="s">
        <v>48</v>
      </c>
      <c r="N243" s="35">
        <f>'Version 5 (LE)'!AK75</f>
        <v>0.73355263157894746</v>
      </c>
      <c r="O243" s="35">
        <f t="shared" si="49"/>
        <v>0.81172839506172834</v>
      </c>
      <c r="P243" s="35">
        <f t="shared" si="50"/>
        <v>7.817576348278088E-2</v>
      </c>
    </row>
    <row r="244" spans="13:23" customFormat="1" x14ac:dyDescent="0.25">
      <c r="M244" t="s">
        <v>49</v>
      </c>
      <c r="N244" s="35">
        <f>'Version 5 (LE)'!AK76</f>
        <v>0.83223684210526316</v>
      </c>
      <c r="O244" s="35">
        <f t="shared" si="49"/>
        <v>0.89506172839506171</v>
      </c>
      <c r="P244" s="35">
        <f t="shared" si="50"/>
        <v>6.2824886289798543E-2</v>
      </c>
    </row>
    <row r="245" spans="13:23" customFormat="1" x14ac:dyDescent="0.25">
      <c r="M245" t="s">
        <v>50</v>
      </c>
      <c r="N245" s="35">
        <f>'Version 5 (LE)'!AK77</f>
        <v>0.94407894736842102</v>
      </c>
      <c r="O245" s="35">
        <f t="shared" si="49"/>
        <v>0.94753086419753074</v>
      </c>
      <c r="P245" s="35">
        <f t="shared" si="50"/>
        <v>3.4519168291097246E-3</v>
      </c>
    </row>
    <row r="246" spans="13:23" customFormat="1" x14ac:dyDescent="0.25">
      <c r="M246" t="s">
        <v>51</v>
      </c>
      <c r="N246" s="35">
        <f>'Version 5 (LE)'!AK78</f>
        <v>0.99342105263157898</v>
      </c>
      <c r="O246" s="35">
        <f t="shared" si="49"/>
        <v>0.9722222222222221</v>
      </c>
      <c r="P246" s="35">
        <f t="shared" si="50"/>
        <v>2.1198830409356884E-2</v>
      </c>
    </row>
    <row r="247" spans="13:23" customFormat="1" x14ac:dyDescent="0.25">
      <c r="M247" t="s">
        <v>52</v>
      </c>
      <c r="N247" s="35">
        <f>'Version 5 (LE)'!AK79</f>
        <v>1</v>
      </c>
      <c r="O247" s="35">
        <f t="shared" si="49"/>
        <v>0.99382716049382702</v>
      </c>
      <c r="P247" s="35">
        <f t="shared" si="50"/>
        <v>6.1728395061729779E-3</v>
      </c>
    </row>
    <row r="248" spans="13:23" customFormat="1" x14ac:dyDescent="0.25">
      <c r="M248" t="s">
        <v>53</v>
      </c>
      <c r="N248" s="35">
        <f>'Version 5 (LE)'!AK80</f>
        <v>1</v>
      </c>
      <c r="O248" s="35">
        <f t="shared" si="49"/>
        <v>0.99691358024691346</v>
      </c>
      <c r="P248" s="35">
        <f t="shared" si="50"/>
        <v>3.0864197530865445E-3</v>
      </c>
    </row>
    <row r="249" spans="13:23" customFormat="1" x14ac:dyDescent="0.25">
      <c r="M249" t="s">
        <v>54</v>
      </c>
      <c r="N249" s="35">
        <f>'Version 5 (LE)'!AK81</f>
        <v>1</v>
      </c>
      <c r="O249" s="35">
        <f t="shared" si="49"/>
        <v>0.99999999999999989</v>
      </c>
      <c r="P249" s="35">
        <f t="shared" si="50"/>
        <v>1.1102230246251565E-16</v>
      </c>
    </row>
    <row r="250" spans="13:23" customFormat="1" x14ac:dyDescent="0.25">
      <c r="M250" t="s">
        <v>15</v>
      </c>
      <c r="P250" s="35">
        <f>MAX(P235:P249)</f>
        <v>0.12305068226120841</v>
      </c>
    </row>
    <row r="252" spans="13:23" customFormat="1" x14ac:dyDescent="0.25">
      <c r="M252" s="37" t="s">
        <v>191</v>
      </c>
      <c r="T252" t="s">
        <v>153</v>
      </c>
    </row>
    <row r="253" spans="13:23" customFormat="1" x14ac:dyDescent="0.25">
      <c r="M253" t="s">
        <v>160</v>
      </c>
      <c r="N253" t="s">
        <v>189</v>
      </c>
      <c r="O253" t="s">
        <v>182</v>
      </c>
      <c r="P253" t="s">
        <v>39</v>
      </c>
      <c r="T253" t="s">
        <v>145</v>
      </c>
      <c r="U253" t="s">
        <v>146</v>
      </c>
      <c r="V253" t="s">
        <v>150</v>
      </c>
    </row>
    <row r="254" spans="13:23" customFormat="1" x14ac:dyDescent="0.25">
      <c r="M254" t="s">
        <v>6</v>
      </c>
      <c r="N254" s="35">
        <f>'Version 5 (LE)'!AK30</f>
        <v>3.2894736842105261E-3</v>
      </c>
      <c r="O254" s="35">
        <f>N30</f>
        <v>2.1875000000000002E-2</v>
      </c>
      <c r="P254" s="35">
        <f t="shared" ref="P254:P261" si="51">ABS(N254-O254)</f>
        <v>1.8585526315789476E-2</v>
      </c>
      <c r="T254">
        <v>0.1</v>
      </c>
      <c r="U254">
        <v>1.22</v>
      </c>
      <c r="V254">
        <f>SQRT((T259+T260)/(T259*T260))</f>
        <v>0.16018081887929686</v>
      </c>
      <c r="W254">
        <f>PRODUCT(V254, U254)</f>
        <v>0.19542059903274217</v>
      </c>
    </row>
    <row r="255" spans="13:23" customFormat="1" x14ac:dyDescent="0.25">
      <c r="M255" t="s">
        <v>7</v>
      </c>
      <c r="N255" s="35">
        <f>'Version 5 (LE)'!AK31</f>
        <v>1.0642414860681114E-2</v>
      </c>
      <c r="O255" s="35">
        <f t="shared" ref="O255:O305" si="52">N31</f>
        <v>8.4375000000000006E-2</v>
      </c>
      <c r="P255" s="35">
        <f t="shared" si="51"/>
        <v>7.3732585139318893E-2</v>
      </c>
      <c r="T255">
        <v>0.05</v>
      </c>
      <c r="U255">
        <v>1.36</v>
      </c>
      <c r="W255">
        <f>V254*U255</f>
        <v>0.21784591367584374</v>
      </c>
    </row>
    <row r="256" spans="13:23" customFormat="1" x14ac:dyDescent="0.25">
      <c r="M256" t="s">
        <v>8</v>
      </c>
      <c r="N256" s="35">
        <f>'Version 5 (LE)'!AK32</f>
        <v>0.30921052631578949</v>
      </c>
      <c r="O256" s="35">
        <f t="shared" si="52"/>
        <v>0.33437499999999998</v>
      </c>
      <c r="P256" s="35">
        <f t="shared" si="51"/>
        <v>2.5164473684210487E-2</v>
      </c>
      <c r="T256">
        <v>0.01</v>
      </c>
      <c r="U256">
        <v>1.63</v>
      </c>
      <c r="W256">
        <f>V254*U256</f>
        <v>0.26109473477325384</v>
      </c>
    </row>
    <row r="257" spans="13:22" customFormat="1" x14ac:dyDescent="0.25">
      <c r="M257" t="s">
        <v>9</v>
      </c>
      <c r="N257" s="35">
        <f>'Version 5 (LE)'!AK33</f>
        <v>0.69407894736842102</v>
      </c>
      <c r="O257" s="35">
        <f t="shared" si="52"/>
        <v>0.73749999999999993</v>
      </c>
      <c r="P257" s="35">
        <f t="shared" si="51"/>
        <v>4.3421052631578916E-2</v>
      </c>
      <c r="R257" t="s">
        <v>293</v>
      </c>
      <c r="V257" s="35">
        <f>MAX(P262, P272, P289)</f>
        <v>7.3732585139318893E-2</v>
      </c>
    </row>
    <row r="258" spans="13:22" customFormat="1" x14ac:dyDescent="0.25">
      <c r="M258" t="s">
        <v>10</v>
      </c>
      <c r="N258" s="35">
        <f>'Version 5 (LE)'!AK34</f>
        <v>0.9078947368421052</v>
      </c>
      <c r="O258" s="35">
        <f t="shared" si="52"/>
        <v>0.890625</v>
      </c>
      <c r="P258" s="35">
        <f t="shared" si="51"/>
        <v>1.7269736842105199E-2</v>
      </c>
      <c r="T258" t="s">
        <v>147</v>
      </c>
    </row>
    <row r="259" spans="13:22" customFormat="1" x14ac:dyDescent="0.25">
      <c r="M259" t="s">
        <v>11</v>
      </c>
      <c r="N259" s="35">
        <f>'Version 5 (LE)'!AK35</f>
        <v>0.96381578947368418</v>
      </c>
      <c r="O259" s="35">
        <f t="shared" si="52"/>
        <v>0.94374999999999998</v>
      </c>
      <c r="P259" s="35">
        <f t="shared" si="51"/>
        <v>2.0065789473684204E-2</v>
      </c>
      <c r="S259" t="s">
        <v>190</v>
      </c>
      <c r="T259">
        <v>76</v>
      </c>
    </row>
    <row r="260" spans="13:22" customFormat="1" x14ac:dyDescent="0.25">
      <c r="M260" t="s">
        <v>12</v>
      </c>
      <c r="N260" s="35">
        <f>'Version 5 (LE)'!AK36</f>
        <v>0.98355263157894735</v>
      </c>
      <c r="O260" s="35">
        <f t="shared" si="52"/>
        <v>0.97499999999999998</v>
      </c>
      <c r="P260" s="35">
        <f t="shared" si="51"/>
        <v>8.5526315789473673E-3</v>
      </c>
      <c r="S260" t="s">
        <v>183</v>
      </c>
      <c r="T260">
        <v>80</v>
      </c>
    </row>
    <row r="261" spans="13:22" customFormat="1" x14ac:dyDescent="0.25">
      <c r="M261" t="s">
        <v>22</v>
      </c>
      <c r="N261" s="35">
        <f>'Version 5 (LE)'!AK37</f>
        <v>1</v>
      </c>
      <c r="O261" s="35">
        <f t="shared" si="52"/>
        <v>1</v>
      </c>
      <c r="P261" s="35">
        <f t="shared" si="51"/>
        <v>0</v>
      </c>
    </row>
    <row r="262" spans="13:22" customFormat="1" x14ac:dyDescent="0.25">
      <c r="M262" t="s">
        <v>15</v>
      </c>
      <c r="N262" s="35"/>
      <c r="O262" s="35"/>
      <c r="P262" s="35">
        <f>MAX(P254:P261)</f>
        <v>7.3732585139318893E-2</v>
      </c>
    </row>
    <row r="263" spans="13:22" customFormat="1" x14ac:dyDescent="0.25">
      <c r="M263" t="s">
        <v>161</v>
      </c>
      <c r="N263" s="35"/>
      <c r="O263" s="35"/>
    </row>
    <row r="264" spans="13:22" customFormat="1" x14ac:dyDescent="0.25">
      <c r="M264" t="s">
        <v>93</v>
      </c>
      <c r="N264" s="35">
        <f>'Version 5 (LE)'!AK40</f>
        <v>5.5921052631578941E-2</v>
      </c>
      <c r="O264" s="35">
        <f t="shared" si="52"/>
        <v>8.1250000000000003E-2</v>
      </c>
      <c r="P264" s="35">
        <f>ABS(N264-O264)</f>
        <v>2.5328947368421062E-2</v>
      </c>
    </row>
    <row r="265" spans="13:22" customFormat="1" x14ac:dyDescent="0.25">
      <c r="M265" t="s">
        <v>16</v>
      </c>
      <c r="N265" s="35">
        <f>'Version 5 (LE)'!AK41</f>
        <v>0.10855263157894735</v>
      </c>
      <c r="O265" s="35">
        <f t="shared" si="52"/>
        <v>0.15625</v>
      </c>
      <c r="P265" s="35">
        <f t="shared" ref="P265:P271" si="53">ABS(N265-O265)</f>
        <v>4.7697368421052655E-2</v>
      </c>
    </row>
    <row r="266" spans="13:22" customFormat="1" x14ac:dyDescent="0.25">
      <c r="M266" t="s">
        <v>17</v>
      </c>
      <c r="N266" s="35">
        <f>'Version 5 (LE)'!AK42</f>
        <v>0.23355263157894735</v>
      </c>
      <c r="O266" s="35">
        <f t="shared" si="52"/>
        <v>0.28749999999999998</v>
      </c>
      <c r="P266" s="35">
        <f t="shared" si="53"/>
        <v>5.3947368421052633E-2</v>
      </c>
    </row>
    <row r="267" spans="13:22" customFormat="1" x14ac:dyDescent="0.25">
      <c r="M267" t="s">
        <v>18</v>
      </c>
      <c r="N267" s="35">
        <f>'Version 5 (LE)'!AK43</f>
        <v>0.45065789473684215</v>
      </c>
      <c r="O267" s="35">
        <f t="shared" si="52"/>
        <v>0.47499999999999998</v>
      </c>
      <c r="P267" s="35">
        <f t="shared" si="53"/>
        <v>2.4342105263157832E-2</v>
      </c>
    </row>
    <row r="268" spans="13:22" customFormat="1" x14ac:dyDescent="0.25">
      <c r="M268" t="s">
        <v>19</v>
      </c>
      <c r="N268" s="35">
        <f>'Version 5 (LE)'!AK44</f>
        <v>0.76973684210526327</v>
      </c>
      <c r="O268" s="35">
        <f t="shared" si="52"/>
        <v>0.77499999999999991</v>
      </c>
      <c r="P268" s="35">
        <f t="shared" si="53"/>
        <v>5.2631578947366364E-3</v>
      </c>
    </row>
    <row r="269" spans="13:22" customFormat="1" x14ac:dyDescent="0.25">
      <c r="M269" t="s">
        <v>20</v>
      </c>
      <c r="N269" s="35">
        <f>'Version 5 (LE)'!AK45</f>
        <v>0.90460526315789491</v>
      </c>
      <c r="O269" s="35">
        <f t="shared" si="52"/>
        <v>0.92187499999999989</v>
      </c>
      <c r="P269" s="35">
        <f t="shared" si="53"/>
        <v>1.7269736842104977E-2</v>
      </c>
    </row>
    <row r="270" spans="13:22" customFormat="1" x14ac:dyDescent="0.25">
      <c r="M270" t="s">
        <v>21</v>
      </c>
      <c r="N270" s="35">
        <f>'Version 5 (LE)'!AK46</f>
        <v>0.97697368421052655</v>
      </c>
      <c r="O270" s="35">
        <f t="shared" si="52"/>
        <v>0.97812499999999991</v>
      </c>
      <c r="P270" s="35">
        <f t="shared" si="53"/>
        <v>1.1513157894733617E-3</v>
      </c>
    </row>
    <row r="271" spans="13:22" customFormat="1" x14ac:dyDescent="0.25">
      <c r="M271" t="s">
        <v>23</v>
      </c>
      <c r="N271" s="35">
        <f>'Version 5 (LE)'!AK47</f>
        <v>1.0000000000000002</v>
      </c>
      <c r="O271" s="35">
        <f t="shared" si="52"/>
        <v>0.99999999999999989</v>
      </c>
      <c r="P271" s="35">
        <f t="shared" si="53"/>
        <v>3.3306690738754696E-16</v>
      </c>
    </row>
    <row r="272" spans="13:22" customFormat="1" x14ac:dyDescent="0.25">
      <c r="M272" t="s">
        <v>15</v>
      </c>
      <c r="N272" s="35"/>
      <c r="O272" s="35"/>
      <c r="P272" s="35">
        <f>MAX(P264:P271)</f>
        <v>5.3947368421052633E-2</v>
      </c>
    </row>
    <row r="273" spans="13:16" customFormat="1" x14ac:dyDescent="0.25">
      <c r="M273" t="s">
        <v>162</v>
      </c>
      <c r="N273" s="35"/>
      <c r="O273" s="35"/>
    </row>
    <row r="274" spans="13:16" customFormat="1" x14ac:dyDescent="0.25">
      <c r="M274" t="s">
        <v>24</v>
      </c>
      <c r="N274" s="35">
        <f>'Version 5 (LE)'!AK50</f>
        <v>3.2894736842105261E-3</v>
      </c>
      <c r="O274" s="35">
        <f t="shared" si="52"/>
        <v>3.1250000000000002E-3</v>
      </c>
      <c r="P274" s="35">
        <f>ABS(N274-O274)</f>
        <v>1.6447368421052596E-4</v>
      </c>
    </row>
    <row r="275" spans="13:16" customFormat="1" x14ac:dyDescent="0.25">
      <c r="M275" t="s">
        <v>25</v>
      </c>
      <c r="N275" s="35">
        <f>'Version 5 (LE)'!AK51</f>
        <v>1.3157894736842105E-2</v>
      </c>
      <c r="O275" s="35">
        <f t="shared" si="52"/>
        <v>1.2500000000000001E-2</v>
      </c>
      <c r="P275" s="35">
        <f t="shared" ref="P275:P288" si="54">ABS(N275-O275)</f>
        <v>6.5789473684210384E-4</v>
      </c>
    </row>
    <row r="276" spans="13:16" customFormat="1" x14ac:dyDescent="0.25">
      <c r="M276" t="s">
        <v>26</v>
      </c>
      <c r="N276" s="35">
        <f>'Version 5 (LE)'!AK52</f>
        <v>1.9736842105263157E-2</v>
      </c>
      <c r="O276" s="35">
        <f t="shared" si="52"/>
        <v>2.5000000000000001E-2</v>
      </c>
      <c r="P276" s="35">
        <f t="shared" si="54"/>
        <v>5.2631578947368446E-3</v>
      </c>
    </row>
    <row r="277" spans="13:16" customFormat="1" x14ac:dyDescent="0.25">
      <c r="M277" t="s">
        <v>27</v>
      </c>
      <c r="N277" s="35">
        <f>'Version 5 (LE)'!AK53</f>
        <v>5.5921052631578941E-2</v>
      </c>
      <c r="O277" s="35">
        <f t="shared" si="52"/>
        <v>6.5624999999999989E-2</v>
      </c>
      <c r="P277" s="35">
        <f t="shared" si="54"/>
        <v>9.7039473684210481E-3</v>
      </c>
    </row>
    <row r="278" spans="13:16" customFormat="1" x14ac:dyDescent="0.25">
      <c r="M278" t="s">
        <v>28</v>
      </c>
      <c r="N278" s="35">
        <f>'Version 5 (LE)'!AK54</f>
        <v>9.5394736842105254E-2</v>
      </c>
      <c r="O278" s="35">
        <f t="shared" si="52"/>
        <v>0.15937499999999999</v>
      </c>
      <c r="P278" s="35">
        <f t="shared" si="54"/>
        <v>6.3980263157894735E-2</v>
      </c>
    </row>
    <row r="279" spans="13:16" customFormat="1" x14ac:dyDescent="0.25">
      <c r="M279" t="s">
        <v>29</v>
      </c>
      <c r="N279" s="35">
        <f>'Version 5 (LE)'!AK55</f>
        <v>0.21710526315789469</v>
      </c>
      <c r="O279" s="35">
        <f t="shared" si="52"/>
        <v>0.27187499999999998</v>
      </c>
      <c r="P279" s="35">
        <f t="shared" si="54"/>
        <v>5.4769736842105288E-2</v>
      </c>
    </row>
    <row r="280" spans="13:16" customFormat="1" x14ac:dyDescent="0.25">
      <c r="M280" t="s">
        <v>30</v>
      </c>
      <c r="N280" s="35">
        <f>'Version 5 (LE)'!AK56</f>
        <v>0.42434210526315785</v>
      </c>
      <c r="O280" s="35">
        <f t="shared" si="52"/>
        <v>0.42812499999999998</v>
      </c>
      <c r="P280" s="35">
        <f t="shared" si="54"/>
        <v>3.782894736842124E-3</v>
      </c>
    </row>
    <row r="281" spans="13:16" customFormat="1" x14ac:dyDescent="0.25">
      <c r="M281" t="s">
        <v>31</v>
      </c>
      <c r="N281" s="35">
        <f>'Version 5 (LE)'!AK57</f>
        <v>0.7532894736842104</v>
      </c>
      <c r="O281" s="35">
        <f t="shared" si="52"/>
        <v>0.79999999999999993</v>
      </c>
      <c r="P281" s="35">
        <f t="shared" si="54"/>
        <v>4.6710526315789536E-2</v>
      </c>
    </row>
    <row r="282" spans="13:16" customFormat="1" x14ac:dyDescent="0.25">
      <c r="M282" t="s">
        <v>32</v>
      </c>
      <c r="N282" s="35">
        <f>'Version 5 (LE)'!AK58</f>
        <v>0.90460526315789458</v>
      </c>
      <c r="O282" s="35">
        <f t="shared" si="52"/>
        <v>0.921875</v>
      </c>
      <c r="P282" s="35">
        <f t="shared" si="54"/>
        <v>1.7269736842105421E-2</v>
      </c>
    </row>
    <row r="283" spans="13:16" customFormat="1" x14ac:dyDescent="0.25">
      <c r="M283" t="s">
        <v>33</v>
      </c>
      <c r="N283" s="35">
        <f>'Version 5 (LE)'!AK59</f>
        <v>0.97039473684210509</v>
      </c>
      <c r="O283" s="35">
        <f t="shared" si="52"/>
        <v>0.98124999999999984</v>
      </c>
      <c r="P283" s="35">
        <f t="shared" si="54"/>
        <v>1.0855263157894757E-2</v>
      </c>
    </row>
    <row r="284" spans="13:16" customFormat="1" x14ac:dyDescent="0.25">
      <c r="M284" t="s">
        <v>34</v>
      </c>
      <c r="N284" s="35">
        <f>'Version 5 (LE)'!AK60</f>
        <v>0.97697368421052611</v>
      </c>
      <c r="O284" s="35">
        <f t="shared" si="52"/>
        <v>0.99375000000000002</v>
      </c>
      <c r="P284" s="35">
        <f t="shared" si="54"/>
        <v>1.6776315789473917E-2</v>
      </c>
    </row>
    <row r="285" spans="13:16" customFormat="1" x14ac:dyDescent="0.25">
      <c r="M285" t="s">
        <v>35</v>
      </c>
      <c r="N285" s="35">
        <f>'Version 5 (LE)'!AK61</f>
        <v>0.98684210526315763</v>
      </c>
      <c r="O285" s="35">
        <f t="shared" si="52"/>
        <v>1</v>
      </c>
      <c r="P285" s="35">
        <f t="shared" si="54"/>
        <v>1.3157894736842368E-2</v>
      </c>
    </row>
    <row r="286" spans="13:16" customFormat="1" x14ac:dyDescent="0.25">
      <c r="M286" t="s">
        <v>36</v>
      </c>
      <c r="N286" s="35">
        <f>'Version 5 (LE)'!AK62</f>
        <v>0.98684210526315763</v>
      </c>
      <c r="O286" s="35">
        <f t="shared" si="52"/>
        <v>1</v>
      </c>
      <c r="P286" s="35">
        <f t="shared" si="54"/>
        <v>1.3157894736842368E-2</v>
      </c>
    </row>
    <row r="287" spans="13:16" customFormat="1" x14ac:dyDescent="0.25">
      <c r="M287" t="s">
        <v>37</v>
      </c>
      <c r="N287" s="35">
        <f>'Version 5 (LE)'!AK63</f>
        <v>0.99013157894736814</v>
      </c>
      <c r="O287" s="35">
        <f t="shared" si="52"/>
        <v>1</v>
      </c>
      <c r="P287" s="35">
        <f t="shared" si="54"/>
        <v>9.8684210526318594E-3</v>
      </c>
    </row>
    <row r="288" spans="13:16" customFormat="1" x14ac:dyDescent="0.25">
      <c r="M288" t="s">
        <v>38</v>
      </c>
      <c r="N288" s="35">
        <f>'Version 5 (LE)'!AK64</f>
        <v>0.99999999999999967</v>
      </c>
      <c r="O288" s="35">
        <f t="shared" si="52"/>
        <v>1</v>
      </c>
      <c r="P288" s="35">
        <f t="shared" si="54"/>
        <v>3.3306690738754696E-16</v>
      </c>
    </row>
    <row r="289" spans="13:16" customFormat="1" x14ac:dyDescent="0.25">
      <c r="M289" t="s">
        <v>15</v>
      </c>
      <c r="N289" s="35"/>
      <c r="O289" s="35"/>
      <c r="P289" s="35">
        <f>MAX(P274:P288)</f>
        <v>6.3980263157894735E-2</v>
      </c>
    </row>
    <row r="290" spans="13:16" customFormat="1" x14ac:dyDescent="0.25">
      <c r="M290" t="s">
        <v>163</v>
      </c>
      <c r="N290" s="35"/>
      <c r="O290" s="35"/>
    </row>
    <row r="291" spans="13:16" customFormat="1" x14ac:dyDescent="0.25">
      <c r="M291" t="s">
        <v>40</v>
      </c>
      <c r="N291" s="35">
        <f>'Version 5 (LE)'!AK67</f>
        <v>3.2894736842105261E-3</v>
      </c>
      <c r="O291" s="35">
        <f t="shared" si="52"/>
        <v>9.3749999999999997E-3</v>
      </c>
      <c r="P291" s="35">
        <f>ABS(N291-O291)</f>
        <v>6.0855263157894735E-3</v>
      </c>
    </row>
    <row r="292" spans="13:16" customFormat="1" x14ac:dyDescent="0.25">
      <c r="M292" t="s">
        <v>41</v>
      </c>
      <c r="N292" s="35">
        <f>'Version 5 (LE)'!AK68</f>
        <v>3.2894736842105261E-3</v>
      </c>
      <c r="O292" s="35">
        <f t="shared" si="52"/>
        <v>1.8749999999999999E-2</v>
      </c>
      <c r="P292" s="35">
        <f t="shared" ref="P292:P305" si="55">ABS(N292-O292)</f>
        <v>1.5460526315789473E-2</v>
      </c>
    </row>
    <row r="293" spans="13:16" customFormat="1" x14ac:dyDescent="0.25">
      <c r="M293" t="s">
        <v>42</v>
      </c>
      <c r="N293" s="35">
        <f>'Version 5 (LE)'!AK69</f>
        <v>2.3026315789473683E-2</v>
      </c>
      <c r="O293" s="35">
        <f t="shared" si="52"/>
        <v>3.7499999999999999E-2</v>
      </c>
      <c r="P293" s="35">
        <f t="shared" si="55"/>
        <v>1.4473684210526316E-2</v>
      </c>
    </row>
    <row r="294" spans="13:16" customFormat="1" x14ac:dyDescent="0.25">
      <c r="M294" t="s">
        <v>43</v>
      </c>
      <c r="N294" s="35">
        <f>'Version 5 (LE)'!AK70</f>
        <v>3.9473684210526314E-2</v>
      </c>
      <c r="O294" s="35">
        <f t="shared" si="52"/>
        <v>6.8750000000000006E-2</v>
      </c>
      <c r="P294" s="35">
        <f t="shared" si="55"/>
        <v>2.9276315789473692E-2</v>
      </c>
    </row>
    <row r="295" spans="13:16" customFormat="1" x14ac:dyDescent="0.25">
      <c r="M295" t="s">
        <v>44</v>
      </c>
      <c r="N295" s="35">
        <f>'Version 5 (LE)'!AK71</f>
        <v>9.2105263157894718E-2</v>
      </c>
      <c r="O295" s="35">
        <f t="shared" si="52"/>
        <v>0.13125000000000001</v>
      </c>
      <c r="P295" s="35">
        <f t="shared" si="55"/>
        <v>3.9144736842105288E-2</v>
      </c>
    </row>
    <row r="296" spans="13:16" customFormat="1" x14ac:dyDescent="0.25">
      <c r="M296" t="s">
        <v>45</v>
      </c>
      <c r="N296" s="35">
        <f>'Version 5 (LE)'!AK72</f>
        <v>0.13815789473684209</v>
      </c>
      <c r="O296" s="35">
        <f t="shared" si="52"/>
        <v>0.19375000000000001</v>
      </c>
      <c r="P296" s="35">
        <f t="shared" si="55"/>
        <v>5.5592105263157915E-2</v>
      </c>
    </row>
    <row r="297" spans="13:16" customFormat="1" x14ac:dyDescent="0.25">
      <c r="M297" t="s">
        <v>46</v>
      </c>
      <c r="N297" s="35">
        <f>'Version 5 (LE)'!AK73</f>
        <v>0.29276315789473689</v>
      </c>
      <c r="O297" s="35">
        <f t="shared" si="52"/>
        <v>0.35</v>
      </c>
      <c r="P297" s="35">
        <f t="shared" si="55"/>
        <v>5.7236842105263086E-2</v>
      </c>
    </row>
    <row r="298" spans="13:16" customFormat="1" x14ac:dyDescent="0.25">
      <c r="M298" t="s">
        <v>47</v>
      </c>
      <c r="N298" s="35">
        <f>'Version 5 (LE)'!AK74</f>
        <v>0.50657894736842113</v>
      </c>
      <c r="O298" s="35">
        <f t="shared" si="52"/>
        <v>0.47499999999999998</v>
      </c>
      <c r="P298" s="35">
        <f t="shared" si="55"/>
        <v>3.1578947368421151E-2</v>
      </c>
    </row>
    <row r="299" spans="13:16" customFormat="1" x14ac:dyDescent="0.25">
      <c r="M299" t="s">
        <v>48</v>
      </c>
      <c r="N299" s="35">
        <f>'Version 5 (LE)'!AK75</f>
        <v>0.73355263157894746</v>
      </c>
      <c r="O299" s="35">
        <f t="shared" si="52"/>
        <v>0.70312499999999989</v>
      </c>
      <c r="P299" s="35">
        <f t="shared" si="55"/>
        <v>3.0427631578947567E-2</v>
      </c>
    </row>
    <row r="300" spans="13:16" customFormat="1" x14ac:dyDescent="0.25">
      <c r="M300" t="s">
        <v>49</v>
      </c>
      <c r="N300" s="35">
        <f>'Version 5 (LE)'!AK76</f>
        <v>0.83223684210526316</v>
      </c>
      <c r="O300" s="35">
        <f t="shared" si="52"/>
        <v>0.84062499999999984</v>
      </c>
      <c r="P300" s="35">
        <f t="shared" si="55"/>
        <v>8.3881578947366808E-3</v>
      </c>
    </row>
    <row r="301" spans="13:16" customFormat="1" x14ac:dyDescent="0.25">
      <c r="M301" t="s">
        <v>50</v>
      </c>
      <c r="N301" s="35">
        <f>'Version 5 (LE)'!AK77</f>
        <v>0.94407894736842102</v>
      </c>
      <c r="O301" s="35">
        <f t="shared" si="52"/>
        <v>0.92812499999999976</v>
      </c>
      <c r="P301" s="35">
        <f t="shared" si="55"/>
        <v>1.5953947368421262E-2</v>
      </c>
    </row>
    <row r="302" spans="13:16" customFormat="1" x14ac:dyDescent="0.25">
      <c r="M302" t="s">
        <v>51</v>
      </c>
      <c r="N302" s="35">
        <f>'Version 5 (LE)'!AK78</f>
        <v>0.99342105263157898</v>
      </c>
      <c r="O302" s="35">
        <f t="shared" si="52"/>
        <v>0.95937499999999987</v>
      </c>
      <c r="P302" s="35">
        <f t="shared" si="55"/>
        <v>3.4046052631579116E-2</v>
      </c>
    </row>
    <row r="303" spans="13:16" customFormat="1" x14ac:dyDescent="0.25">
      <c r="M303" t="s">
        <v>52</v>
      </c>
      <c r="N303" s="35">
        <f>'Version 5 (LE)'!AK79</f>
        <v>1</v>
      </c>
      <c r="O303" s="35">
        <f t="shared" si="52"/>
        <v>0.98437499999999989</v>
      </c>
      <c r="P303" s="35">
        <f t="shared" si="55"/>
        <v>1.5625000000000111E-2</v>
      </c>
    </row>
    <row r="304" spans="13:16" customFormat="1" x14ac:dyDescent="0.25">
      <c r="M304" t="s">
        <v>53</v>
      </c>
      <c r="N304" s="35">
        <f>'Version 5 (LE)'!AK80</f>
        <v>1</v>
      </c>
      <c r="O304" s="35">
        <f t="shared" si="52"/>
        <v>0.98749999999999993</v>
      </c>
      <c r="P304" s="35">
        <f t="shared" si="55"/>
        <v>1.2500000000000067E-2</v>
      </c>
    </row>
    <row r="305" spans="13:23" customFormat="1" x14ac:dyDescent="0.25">
      <c r="M305" t="s">
        <v>54</v>
      </c>
      <c r="N305" s="35">
        <f>'Version 5 (LE)'!AK81</f>
        <v>1</v>
      </c>
      <c r="O305" s="35">
        <f t="shared" si="52"/>
        <v>0.99999999999999989</v>
      </c>
      <c r="P305" s="35">
        <f t="shared" si="55"/>
        <v>1.1102230246251565E-16</v>
      </c>
    </row>
    <row r="306" spans="13:23" customFormat="1" x14ac:dyDescent="0.25">
      <c r="M306" t="s">
        <v>15</v>
      </c>
      <c r="P306" s="35">
        <f>MAX(P291:P305)</f>
        <v>5.7236842105263086E-2</v>
      </c>
    </row>
    <row r="308" spans="13:23" customFormat="1" x14ac:dyDescent="0.25">
      <c r="M308" s="37" t="s">
        <v>192</v>
      </c>
      <c r="T308" t="s">
        <v>153</v>
      </c>
    </row>
    <row r="309" spans="13:23" customFormat="1" x14ac:dyDescent="0.25">
      <c r="M309" t="s">
        <v>160</v>
      </c>
      <c r="N309" t="s">
        <v>189</v>
      </c>
      <c r="O309" t="s">
        <v>14</v>
      </c>
      <c r="P309" t="s">
        <v>39</v>
      </c>
      <c r="T309" t="s">
        <v>145</v>
      </c>
      <c r="U309" t="s">
        <v>146</v>
      </c>
      <c r="V309" t="s">
        <v>150</v>
      </c>
    </row>
    <row r="310" spans="13:23" customFormat="1" x14ac:dyDescent="0.25">
      <c r="M310" t="s">
        <v>6</v>
      </c>
      <c r="N310" s="35">
        <f>N254</f>
        <v>3.2894736842105261E-3</v>
      </c>
      <c r="O310" s="35">
        <f>N142</f>
        <v>1.0273972602739725E-2</v>
      </c>
      <c r="P310" s="35">
        <f t="shared" ref="P310:P317" si="56">ABS(N310-O310)</f>
        <v>6.9844989185291993E-3</v>
      </c>
      <c r="T310">
        <v>0.1</v>
      </c>
      <c r="U310">
        <v>1.22</v>
      </c>
      <c r="V310">
        <f>SQRT((T315+T316)/(T315*T316))</f>
        <v>0.16387960481349839</v>
      </c>
      <c r="W310">
        <f>PRODUCT(V310, U310)</f>
        <v>0.19993311787246804</v>
      </c>
    </row>
    <row r="311" spans="13:23" customFormat="1" x14ac:dyDescent="0.25">
      <c r="M311" t="s">
        <v>7</v>
      </c>
      <c r="N311" s="35">
        <f t="shared" ref="N311:N361" si="57">N255</f>
        <v>1.0642414860681114E-2</v>
      </c>
      <c r="O311" s="35">
        <f t="shared" ref="O311:O361" si="58">N143</f>
        <v>5.8219178082191778E-2</v>
      </c>
      <c r="P311" s="35">
        <f t="shared" si="56"/>
        <v>4.7576763221510665E-2</v>
      </c>
      <c r="T311">
        <v>0.05</v>
      </c>
      <c r="U311">
        <v>1.36</v>
      </c>
      <c r="W311">
        <f>V310*U311</f>
        <v>0.22287626254635784</v>
      </c>
    </row>
    <row r="312" spans="13:23" customFormat="1" x14ac:dyDescent="0.25">
      <c r="M312" t="s">
        <v>8</v>
      </c>
      <c r="N312" s="35">
        <f t="shared" si="57"/>
        <v>0.30921052631578949</v>
      </c>
      <c r="O312" s="35">
        <f t="shared" si="58"/>
        <v>0.27397260273972601</v>
      </c>
      <c r="P312" s="35">
        <f t="shared" si="56"/>
        <v>3.5237923576063479E-2</v>
      </c>
      <c r="T312">
        <v>0.01</v>
      </c>
      <c r="U312">
        <v>1.63</v>
      </c>
      <c r="W312">
        <f>V310*U312</f>
        <v>0.26712375584600234</v>
      </c>
    </row>
    <row r="313" spans="13:23" customFormat="1" x14ac:dyDescent="0.25">
      <c r="M313" t="s">
        <v>9</v>
      </c>
      <c r="N313" s="35">
        <f t="shared" si="57"/>
        <v>0.69407894736842102</v>
      </c>
      <c r="O313" s="35">
        <f t="shared" si="58"/>
        <v>0.59589041095890405</v>
      </c>
      <c r="P313" s="35">
        <f t="shared" si="56"/>
        <v>9.8188536409516969E-2</v>
      </c>
      <c r="R313" t="s">
        <v>293</v>
      </c>
      <c r="V313" s="35">
        <f>MAX(P318, P328, P345)</f>
        <v>0.16028298485940884</v>
      </c>
    </row>
    <row r="314" spans="13:23" customFormat="1" x14ac:dyDescent="0.25">
      <c r="M314" t="s">
        <v>10</v>
      </c>
      <c r="N314" s="35">
        <f t="shared" si="57"/>
        <v>0.9078947368421052</v>
      </c>
      <c r="O314" s="35">
        <f t="shared" si="58"/>
        <v>0.75</v>
      </c>
      <c r="P314" s="35">
        <f t="shared" si="56"/>
        <v>0.1578947368421052</v>
      </c>
      <c r="T314" t="s">
        <v>147</v>
      </c>
    </row>
    <row r="315" spans="13:23" customFormat="1" x14ac:dyDescent="0.25">
      <c r="M315" t="s">
        <v>11</v>
      </c>
      <c r="N315" s="35">
        <f t="shared" si="57"/>
        <v>0.96381578947368418</v>
      </c>
      <c r="O315" s="35">
        <f t="shared" si="58"/>
        <v>0.94178082191780821</v>
      </c>
      <c r="P315" s="35">
        <f t="shared" si="56"/>
        <v>2.2034967555875973E-2</v>
      </c>
      <c r="S315" t="s">
        <v>190</v>
      </c>
      <c r="T315">
        <v>76</v>
      </c>
    </row>
    <row r="316" spans="13:23" customFormat="1" x14ac:dyDescent="0.25">
      <c r="M316" t="s">
        <v>12</v>
      </c>
      <c r="N316" s="35">
        <f t="shared" si="57"/>
        <v>0.98355263157894735</v>
      </c>
      <c r="O316" s="35">
        <f t="shared" si="58"/>
        <v>0.96917808219178081</v>
      </c>
      <c r="P316" s="35">
        <f t="shared" si="56"/>
        <v>1.4374549387166535E-2</v>
      </c>
      <c r="S316" t="s">
        <v>149</v>
      </c>
      <c r="T316">
        <v>73</v>
      </c>
    </row>
    <row r="317" spans="13:23" customFormat="1" x14ac:dyDescent="0.25">
      <c r="M317" t="s">
        <v>22</v>
      </c>
      <c r="N317" s="35">
        <f t="shared" si="57"/>
        <v>1</v>
      </c>
      <c r="O317" s="35">
        <f t="shared" si="58"/>
        <v>1</v>
      </c>
      <c r="P317" s="35">
        <f t="shared" si="56"/>
        <v>0</v>
      </c>
    </row>
    <row r="318" spans="13:23" customFormat="1" x14ac:dyDescent="0.25">
      <c r="M318" t="s">
        <v>15</v>
      </c>
      <c r="N318" s="35"/>
      <c r="O318" s="35"/>
      <c r="P318" s="35">
        <f>MAX(P310:P317)</f>
        <v>0.1578947368421052</v>
      </c>
    </row>
    <row r="319" spans="13:23" customFormat="1" x14ac:dyDescent="0.25">
      <c r="M319" t="s">
        <v>161</v>
      </c>
      <c r="N319" s="35"/>
      <c r="O319" s="35"/>
    </row>
    <row r="320" spans="13:23" customFormat="1" x14ac:dyDescent="0.25">
      <c r="M320" t="s">
        <v>93</v>
      </c>
      <c r="N320" s="35">
        <f t="shared" si="57"/>
        <v>5.5921052631578941E-2</v>
      </c>
      <c r="O320" s="35">
        <f t="shared" si="58"/>
        <v>8.5616438356164379E-2</v>
      </c>
      <c r="P320" s="35">
        <f>ABS(N320-O320)</f>
        <v>2.9695385724585438E-2</v>
      </c>
    </row>
    <row r="321" spans="13:16" customFormat="1" x14ac:dyDescent="0.25">
      <c r="M321" t="s">
        <v>16</v>
      </c>
      <c r="N321" s="35">
        <f t="shared" si="57"/>
        <v>0.10855263157894735</v>
      </c>
      <c r="O321" s="35">
        <f t="shared" si="58"/>
        <v>0.1404109589041096</v>
      </c>
      <c r="P321" s="35">
        <f t="shared" ref="P321:P327" si="59">ABS(N321-O321)</f>
        <v>3.185832732516225E-2</v>
      </c>
    </row>
    <row r="322" spans="13:16" customFormat="1" x14ac:dyDescent="0.25">
      <c r="M322" t="s">
        <v>17</v>
      </c>
      <c r="N322" s="35">
        <f t="shared" si="57"/>
        <v>0.23355263157894735</v>
      </c>
      <c r="O322" s="35">
        <f t="shared" si="58"/>
        <v>0.39383561643835618</v>
      </c>
      <c r="P322" s="35">
        <f t="shared" si="59"/>
        <v>0.16028298485940884</v>
      </c>
    </row>
    <row r="323" spans="13:16" customFormat="1" x14ac:dyDescent="0.25">
      <c r="M323" t="s">
        <v>18</v>
      </c>
      <c r="N323" s="35">
        <f t="shared" si="57"/>
        <v>0.45065789473684215</v>
      </c>
      <c r="O323" s="35">
        <f t="shared" si="58"/>
        <v>0.5547945205479452</v>
      </c>
      <c r="P323" s="35">
        <f t="shared" si="59"/>
        <v>0.10413662581110306</v>
      </c>
    </row>
    <row r="324" spans="13:16" customFormat="1" x14ac:dyDescent="0.25">
      <c r="M324" t="s">
        <v>19</v>
      </c>
      <c r="N324" s="35">
        <f t="shared" si="57"/>
        <v>0.76973684210526327</v>
      </c>
      <c r="O324" s="35">
        <f t="shared" si="58"/>
        <v>0.81164383561643838</v>
      </c>
      <c r="P324" s="35">
        <f t="shared" si="59"/>
        <v>4.1906993511175106E-2</v>
      </c>
    </row>
    <row r="325" spans="13:16" customFormat="1" x14ac:dyDescent="0.25">
      <c r="M325" t="s">
        <v>20</v>
      </c>
      <c r="N325" s="35">
        <f t="shared" si="57"/>
        <v>0.90460526315789491</v>
      </c>
      <c r="O325" s="35">
        <f t="shared" si="58"/>
        <v>0.93493150684931514</v>
      </c>
      <c r="P325" s="35">
        <f t="shared" si="59"/>
        <v>3.0326243691420229E-2</v>
      </c>
    </row>
    <row r="326" spans="13:16" customFormat="1" x14ac:dyDescent="0.25">
      <c r="M326" t="s">
        <v>21</v>
      </c>
      <c r="N326" s="35">
        <f t="shared" si="57"/>
        <v>0.97697368421052655</v>
      </c>
      <c r="O326" s="35">
        <f t="shared" si="58"/>
        <v>0.98287671232876717</v>
      </c>
      <c r="P326" s="35">
        <f t="shared" si="59"/>
        <v>5.9030281182406164E-3</v>
      </c>
    </row>
    <row r="327" spans="13:16" customFormat="1" x14ac:dyDescent="0.25">
      <c r="M327" t="s">
        <v>23</v>
      </c>
      <c r="N327" s="35">
        <f t="shared" si="57"/>
        <v>1.0000000000000002</v>
      </c>
      <c r="O327" s="35">
        <f t="shared" si="58"/>
        <v>1</v>
      </c>
      <c r="P327" s="35">
        <f t="shared" si="59"/>
        <v>2.2204460492503131E-16</v>
      </c>
    </row>
    <row r="328" spans="13:16" customFormat="1" x14ac:dyDescent="0.25">
      <c r="M328" t="s">
        <v>15</v>
      </c>
      <c r="N328" s="35"/>
      <c r="O328" s="35"/>
      <c r="P328" s="35">
        <f>MAX(P320:P327)</f>
        <v>0.16028298485940884</v>
      </c>
    </row>
    <row r="329" spans="13:16" customFormat="1" x14ac:dyDescent="0.25">
      <c r="M329" t="s">
        <v>162</v>
      </c>
      <c r="N329" s="35"/>
      <c r="O329" s="35"/>
    </row>
    <row r="330" spans="13:16" customFormat="1" x14ac:dyDescent="0.25">
      <c r="M330" t="s">
        <v>24</v>
      </c>
      <c r="N330" s="35">
        <f t="shared" si="57"/>
        <v>3.2894736842105261E-3</v>
      </c>
      <c r="O330" s="35">
        <f t="shared" si="58"/>
        <v>0</v>
      </c>
      <c r="P330" s="35">
        <f>ABS(N330-O330)</f>
        <v>3.2894736842105261E-3</v>
      </c>
    </row>
    <row r="331" spans="13:16" customFormat="1" x14ac:dyDescent="0.25">
      <c r="M331" t="s">
        <v>25</v>
      </c>
      <c r="N331" s="35">
        <f t="shared" si="57"/>
        <v>1.3157894736842105E-2</v>
      </c>
      <c r="O331" s="35">
        <f t="shared" si="58"/>
        <v>1.0273972602739725E-2</v>
      </c>
      <c r="P331" s="35">
        <f t="shared" ref="P331:P344" si="60">ABS(N331-O331)</f>
        <v>2.8839221341023791E-3</v>
      </c>
    </row>
    <row r="332" spans="13:16" customFormat="1" x14ac:dyDescent="0.25">
      <c r="M332" t="s">
        <v>26</v>
      </c>
      <c r="N332" s="35">
        <f t="shared" si="57"/>
        <v>1.9736842105263157E-2</v>
      </c>
      <c r="O332" s="35">
        <f t="shared" si="58"/>
        <v>4.1095890410958902E-2</v>
      </c>
      <c r="P332" s="35">
        <f t="shared" si="60"/>
        <v>2.1359048305695745E-2</v>
      </c>
    </row>
    <row r="333" spans="13:16" customFormat="1" x14ac:dyDescent="0.25">
      <c r="M333" t="s">
        <v>27</v>
      </c>
      <c r="N333" s="35">
        <f t="shared" si="57"/>
        <v>5.5921052631578941E-2</v>
      </c>
      <c r="O333" s="35">
        <f t="shared" si="58"/>
        <v>6.8493150684931503E-2</v>
      </c>
      <c r="P333" s="35">
        <f t="shared" si="60"/>
        <v>1.2572098053352562E-2</v>
      </c>
    </row>
    <row r="334" spans="13:16" customFormat="1" x14ac:dyDescent="0.25">
      <c r="M334" t="s">
        <v>28</v>
      </c>
      <c r="N334" s="35">
        <f t="shared" si="57"/>
        <v>9.5394736842105254E-2</v>
      </c>
      <c r="O334" s="35">
        <f t="shared" si="58"/>
        <v>0.16438356164383561</v>
      </c>
      <c r="P334" s="35">
        <f t="shared" si="60"/>
        <v>6.8988824801730353E-2</v>
      </c>
    </row>
    <row r="335" spans="13:16" customFormat="1" x14ac:dyDescent="0.25">
      <c r="M335" t="s">
        <v>29</v>
      </c>
      <c r="N335" s="35">
        <f t="shared" si="57"/>
        <v>0.21710526315789469</v>
      </c>
      <c r="O335" s="35">
        <f t="shared" si="58"/>
        <v>0.29452054794520549</v>
      </c>
      <c r="P335" s="35">
        <f t="shared" si="60"/>
        <v>7.7415284787310801E-2</v>
      </c>
    </row>
    <row r="336" spans="13:16" customFormat="1" x14ac:dyDescent="0.25">
      <c r="M336" t="s">
        <v>30</v>
      </c>
      <c r="N336" s="35">
        <f t="shared" si="57"/>
        <v>0.42434210526315785</v>
      </c>
      <c r="O336" s="35">
        <f t="shared" si="58"/>
        <v>0.4863013698630137</v>
      </c>
      <c r="P336" s="35">
        <f t="shared" si="60"/>
        <v>6.1959264599855846E-2</v>
      </c>
    </row>
    <row r="337" spans="13:16" customFormat="1" x14ac:dyDescent="0.25">
      <c r="M337" t="s">
        <v>31</v>
      </c>
      <c r="N337" s="35">
        <f t="shared" si="57"/>
        <v>0.7532894736842104</v>
      </c>
      <c r="O337" s="35">
        <f t="shared" si="58"/>
        <v>0.74657534246575352</v>
      </c>
      <c r="P337" s="35">
        <f t="shared" si="60"/>
        <v>6.7141312184568758E-3</v>
      </c>
    </row>
    <row r="338" spans="13:16" customFormat="1" x14ac:dyDescent="0.25">
      <c r="M338" t="s">
        <v>32</v>
      </c>
      <c r="N338" s="35">
        <f t="shared" si="57"/>
        <v>0.90460526315789458</v>
      </c>
      <c r="O338" s="35">
        <f t="shared" si="58"/>
        <v>0.84931506849315086</v>
      </c>
      <c r="P338" s="35">
        <f t="shared" si="60"/>
        <v>5.5290194664743719E-2</v>
      </c>
    </row>
    <row r="339" spans="13:16" customFormat="1" x14ac:dyDescent="0.25">
      <c r="M339" t="s">
        <v>33</v>
      </c>
      <c r="N339" s="35">
        <f t="shared" si="57"/>
        <v>0.97039473684210509</v>
      </c>
      <c r="O339" s="35">
        <f t="shared" si="58"/>
        <v>0.91095890410958924</v>
      </c>
      <c r="P339" s="35">
        <f t="shared" si="60"/>
        <v>5.9435832732515848E-2</v>
      </c>
    </row>
    <row r="340" spans="13:16" customFormat="1" x14ac:dyDescent="0.25">
      <c r="M340" t="s">
        <v>34</v>
      </c>
      <c r="N340" s="35">
        <f t="shared" si="57"/>
        <v>0.97697368421052611</v>
      </c>
      <c r="O340" s="35">
        <f t="shared" si="58"/>
        <v>0.96232876712328796</v>
      </c>
      <c r="P340" s="35">
        <f t="shared" si="60"/>
        <v>1.4644917087238141E-2</v>
      </c>
    </row>
    <row r="341" spans="13:16" customFormat="1" x14ac:dyDescent="0.25">
      <c r="M341" t="s">
        <v>35</v>
      </c>
      <c r="N341" s="35">
        <f t="shared" si="57"/>
        <v>0.98684210526315763</v>
      </c>
      <c r="O341" s="35">
        <f t="shared" si="58"/>
        <v>0.98630136986301409</v>
      </c>
      <c r="P341" s="35">
        <f t="shared" si="60"/>
        <v>5.4073540014354382E-4</v>
      </c>
    </row>
    <row r="342" spans="13:16" customFormat="1" x14ac:dyDescent="0.25">
      <c r="M342" t="s">
        <v>36</v>
      </c>
      <c r="N342" s="35">
        <f t="shared" si="57"/>
        <v>0.98684210526315763</v>
      </c>
      <c r="O342" s="35">
        <f t="shared" si="58"/>
        <v>0.98972602739726068</v>
      </c>
      <c r="P342" s="35">
        <f t="shared" si="60"/>
        <v>2.8839221341030452E-3</v>
      </c>
    </row>
    <row r="343" spans="13:16" customFormat="1" x14ac:dyDescent="0.25">
      <c r="M343" t="s">
        <v>37</v>
      </c>
      <c r="N343" s="35">
        <f t="shared" si="57"/>
        <v>0.99013157894736814</v>
      </c>
      <c r="O343" s="35">
        <f t="shared" si="58"/>
        <v>0.99315068493150727</v>
      </c>
      <c r="P343" s="35">
        <f t="shared" si="60"/>
        <v>3.0191059841391255E-3</v>
      </c>
    </row>
    <row r="344" spans="13:16" customFormat="1" x14ac:dyDescent="0.25">
      <c r="M344" t="s">
        <v>38</v>
      </c>
      <c r="N344" s="35">
        <f t="shared" si="57"/>
        <v>0.99999999999999967</v>
      </c>
      <c r="O344" s="35">
        <f t="shared" si="58"/>
        <v>1.0000000000000004</v>
      </c>
      <c r="P344" s="35">
        <f t="shared" si="60"/>
        <v>7.7715611723760958E-16</v>
      </c>
    </row>
    <row r="345" spans="13:16" customFormat="1" x14ac:dyDescent="0.25">
      <c r="M345" t="s">
        <v>15</v>
      </c>
      <c r="N345" s="35"/>
      <c r="O345" s="35"/>
      <c r="P345" s="35">
        <f>MAX(P330:P344)</f>
        <v>7.7415284787310801E-2</v>
      </c>
    </row>
    <row r="346" spans="13:16" customFormat="1" x14ac:dyDescent="0.25">
      <c r="M346" t="s">
        <v>163</v>
      </c>
      <c r="N346" s="35"/>
      <c r="O346" s="35"/>
    </row>
    <row r="347" spans="13:16" customFormat="1" x14ac:dyDescent="0.25">
      <c r="M347" t="s">
        <v>40</v>
      </c>
      <c r="N347" s="35">
        <f t="shared" si="57"/>
        <v>3.2894736842105261E-3</v>
      </c>
      <c r="O347" s="35">
        <f t="shared" si="58"/>
        <v>1.3698630136986301E-2</v>
      </c>
      <c r="P347" s="35">
        <f>ABS(N347-O347)</f>
        <v>1.0409156452775774E-2</v>
      </c>
    </row>
    <row r="348" spans="13:16" customFormat="1" x14ac:dyDescent="0.25">
      <c r="M348" t="s">
        <v>41</v>
      </c>
      <c r="N348" s="35">
        <f t="shared" si="57"/>
        <v>3.2894736842105261E-3</v>
      </c>
      <c r="O348" s="35">
        <f t="shared" si="58"/>
        <v>1.7123287671232876E-2</v>
      </c>
      <c r="P348" s="35">
        <f t="shared" ref="P348:P361" si="61">ABS(N348-O348)</f>
        <v>1.383381398702235E-2</v>
      </c>
    </row>
    <row r="349" spans="13:16" customFormat="1" x14ac:dyDescent="0.25">
      <c r="M349" t="s">
        <v>42</v>
      </c>
      <c r="N349" s="35">
        <f t="shared" si="57"/>
        <v>2.3026315789473683E-2</v>
      </c>
      <c r="O349" s="35">
        <f t="shared" si="58"/>
        <v>3.0821917808219176E-2</v>
      </c>
      <c r="P349" s="35">
        <f t="shared" si="61"/>
        <v>7.7956020187454934E-3</v>
      </c>
    </row>
    <row r="350" spans="13:16" customFormat="1" x14ac:dyDescent="0.25">
      <c r="M350" t="s">
        <v>43</v>
      </c>
      <c r="N350" s="35">
        <f t="shared" si="57"/>
        <v>3.9473684210526314E-2</v>
      </c>
      <c r="O350" s="35">
        <f t="shared" si="58"/>
        <v>6.1643835616438353E-2</v>
      </c>
      <c r="P350" s="35">
        <f t="shared" si="61"/>
        <v>2.2170151405912039E-2</v>
      </c>
    </row>
    <row r="351" spans="13:16" customFormat="1" x14ac:dyDescent="0.25">
      <c r="M351" t="s">
        <v>44</v>
      </c>
      <c r="N351" s="35">
        <f t="shared" si="57"/>
        <v>9.2105263157894718E-2</v>
      </c>
      <c r="O351" s="35">
        <f t="shared" si="58"/>
        <v>0.15753424657534248</v>
      </c>
      <c r="P351" s="35">
        <f t="shared" si="61"/>
        <v>6.5428983417447767E-2</v>
      </c>
    </row>
    <row r="352" spans="13:16" customFormat="1" x14ac:dyDescent="0.25">
      <c r="M352" t="s">
        <v>45</v>
      </c>
      <c r="N352" s="35">
        <f t="shared" si="57"/>
        <v>0.13815789473684209</v>
      </c>
      <c r="O352" s="35">
        <f t="shared" si="58"/>
        <v>0.27397260273972607</v>
      </c>
      <c r="P352" s="35">
        <f t="shared" si="61"/>
        <v>0.13581470800288398</v>
      </c>
    </row>
    <row r="353" spans="13:23" customFormat="1" x14ac:dyDescent="0.25">
      <c r="M353" t="s">
        <v>46</v>
      </c>
      <c r="N353" s="35">
        <f t="shared" si="57"/>
        <v>0.29276315789473689</v>
      </c>
      <c r="O353" s="35">
        <f t="shared" si="58"/>
        <v>0.4315068493150685</v>
      </c>
      <c r="P353" s="35">
        <f t="shared" si="61"/>
        <v>0.13874369142033161</v>
      </c>
    </row>
    <row r="354" spans="13:23" customFormat="1" x14ac:dyDescent="0.25">
      <c r="M354" t="s">
        <v>47</v>
      </c>
      <c r="N354" s="35">
        <f t="shared" si="57"/>
        <v>0.50657894736842113</v>
      </c>
      <c r="O354" s="35">
        <f t="shared" si="58"/>
        <v>0.6404109589041096</v>
      </c>
      <c r="P354" s="35">
        <f t="shared" si="61"/>
        <v>0.13383201153568847</v>
      </c>
    </row>
    <row r="355" spans="13:23" customFormat="1" x14ac:dyDescent="0.25">
      <c r="M355" t="s">
        <v>48</v>
      </c>
      <c r="N355" s="35">
        <f t="shared" si="57"/>
        <v>0.73355263157894746</v>
      </c>
      <c r="O355" s="35">
        <f t="shared" si="58"/>
        <v>0.81506849315068508</v>
      </c>
      <c r="P355" s="35">
        <f t="shared" si="61"/>
        <v>8.1515861571737624E-2</v>
      </c>
    </row>
    <row r="356" spans="13:23" customFormat="1" x14ac:dyDescent="0.25">
      <c r="M356" t="s">
        <v>49</v>
      </c>
      <c r="N356" s="35">
        <f t="shared" si="57"/>
        <v>0.83223684210526316</v>
      </c>
      <c r="O356" s="35">
        <f t="shared" si="58"/>
        <v>0.90753424657534265</v>
      </c>
      <c r="P356" s="35">
        <f t="shared" si="61"/>
        <v>7.5297404470079488E-2</v>
      </c>
    </row>
    <row r="357" spans="13:23" customFormat="1" x14ac:dyDescent="0.25">
      <c r="M357" t="s">
        <v>50</v>
      </c>
      <c r="N357" s="35">
        <f t="shared" si="57"/>
        <v>0.94407894736842102</v>
      </c>
      <c r="O357" s="35">
        <f t="shared" si="58"/>
        <v>0.96575342465753455</v>
      </c>
      <c r="P357" s="35">
        <f t="shared" si="61"/>
        <v>2.1674477289113536E-2</v>
      </c>
    </row>
    <row r="358" spans="13:23" customFormat="1" x14ac:dyDescent="0.25">
      <c r="M358" t="s">
        <v>51</v>
      </c>
      <c r="N358" s="35">
        <f t="shared" si="57"/>
        <v>0.99342105263157898</v>
      </c>
      <c r="O358" s="35">
        <f t="shared" si="58"/>
        <v>0.99315068493150727</v>
      </c>
      <c r="P358" s="35">
        <f t="shared" si="61"/>
        <v>2.703677000717164E-4</v>
      </c>
    </row>
    <row r="359" spans="13:23" customFormat="1" x14ac:dyDescent="0.25">
      <c r="M359" t="s">
        <v>52</v>
      </c>
      <c r="N359" s="35">
        <f t="shared" si="57"/>
        <v>1</v>
      </c>
      <c r="O359" s="35">
        <f t="shared" si="58"/>
        <v>0.99657534246575386</v>
      </c>
      <c r="P359" s="35">
        <f t="shared" si="61"/>
        <v>3.4246575342461449E-3</v>
      </c>
    </row>
    <row r="360" spans="13:23" customFormat="1" x14ac:dyDescent="0.25">
      <c r="M360" t="s">
        <v>53</v>
      </c>
      <c r="N360" s="35">
        <f t="shared" si="57"/>
        <v>1</v>
      </c>
      <c r="O360" s="35">
        <f t="shared" si="58"/>
        <v>1.0000000000000004</v>
      </c>
      <c r="P360" s="35">
        <f t="shared" si="61"/>
        <v>4.4408920985006262E-16</v>
      </c>
    </row>
    <row r="361" spans="13:23" customFormat="1" x14ac:dyDescent="0.25">
      <c r="M361" t="s">
        <v>54</v>
      </c>
      <c r="N361" s="35">
        <f t="shared" si="57"/>
        <v>1</v>
      </c>
      <c r="O361" s="35">
        <f t="shared" si="58"/>
        <v>1.0000000000000004</v>
      </c>
      <c r="P361" s="35">
        <f t="shared" si="61"/>
        <v>4.4408920985006262E-16</v>
      </c>
    </row>
    <row r="362" spans="13:23" customFormat="1" x14ac:dyDescent="0.25">
      <c r="M362" t="s">
        <v>15</v>
      </c>
      <c r="P362" s="35">
        <f>MAX(P347:P361)</f>
        <v>0.13874369142033161</v>
      </c>
    </row>
    <row r="364" spans="13:23" customFormat="1" x14ac:dyDescent="0.25">
      <c r="M364" s="37" t="s">
        <v>193</v>
      </c>
      <c r="T364" t="s">
        <v>153</v>
      </c>
    </row>
    <row r="365" spans="13:23" customFormat="1" x14ac:dyDescent="0.25">
      <c r="M365" t="s">
        <v>160</v>
      </c>
      <c r="N365" t="s">
        <v>189</v>
      </c>
      <c r="O365" t="s">
        <v>13</v>
      </c>
      <c r="P365" t="s">
        <v>39</v>
      </c>
      <c r="T365" t="s">
        <v>145</v>
      </c>
      <c r="U365" t="s">
        <v>146</v>
      </c>
      <c r="V365" t="s">
        <v>150</v>
      </c>
    </row>
    <row r="366" spans="13:23" customFormat="1" x14ac:dyDescent="0.25">
      <c r="M366" t="s">
        <v>6</v>
      </c>
      <c r="N366" s="35">
        <f>N310</f>
        <v>3.2894736842105261E-3</v>
      </c>
      <c r="O366" s="35">
        <f>N86</f>
        <v>2.7777777777777779E-3</v>
      </c>
      <c r="P366" s="35">
        <f t="shared" ref="P366:P373" si="62">ABS(N366-O366)</f>
        <v>5.1169590643274825E-4</v>
      </c>
      <c r="T366">
        <v>0.1</v>
      </c>
      <c r="U366">
        <v>1.22</v>
      </c>
      <c r="V366">
        <f>SQRT((T371+T372)/(T371*T372))</f>
        <v>0.15578512717186199</v>
      </c>
      <c r="W366">
        <f>PRODUCT(V366, U366)</f>
        <v>0.19005785514967163</v>
      </c>
    </row>
    <row r="367" spans="13:23" customFormat="1" x14ac:dyDescent="0.25">
      <c r="M367" t="s">
        <v>7</v>
      </c>
      <c r="N367" s="35">
        <f t="shared" ref="N367:N417" si="63">N311</f>
        <v>1.0642414860681114E-2</v>
      </c>
      <c r="O367" s="35">
        <f t="shared" ref="O367:O417" si="64">N87</f>
        <v>7.4999999999999997E-2</v>
      </c>
      <c r="P367" s="35">
        <f t="shared" si="62"/>
        <v>6.4357585139318885E-2</v>
      </c>
      <c r="T367">
        <v>0.05</v>
      </c>
      <c r="U367">
        <v>1.36</v>
      </c>
      <c r="W367">
        <f>V366*U367</f>
        <v>0.21186777295373233</v>
      </c>
    </row>
    <row r="368" spans="13:23" customFormat="1" x14ac:dyDescent="0.25">
      <c r="M368" t="s">
        <v>8</v>
      </c>
      <c r="N368" s="35">
        <f t="shared" si="63"/>
        <v>0.30921052631578949</v>
      </c>
      <c r="O368" s="35">
        <f t="shared" si="64"/>
        <v>0.2722222222222222</v>
      </c>
      <c r="P368" s="35">
        <f t="shared" si="62"/>
        <v>3.6988304093567292E-2</v>
      </c>
      <c r="T368">
        <v>0.01</v>
      </c>
      <c r="U368">
        <v>1.63</v>
      </c>
      <c r="W368">
        <f>V366*U368</f>
        <v>0.25392975729013501</v>
      </c>
    </row>
    <row r="369" spans="13:22" customFormat="1" x14ac:dyDescent="0.25">
      <c r="M369" t="s">
        <v>9</v>
      </c>
      <c r="N369" s="35">
        <f t="shared" si="63"/>
        <v>0.69407894736842102</v>
      </c>
      <c r="O369" s="35">
        <f t="shared" si="64"/>
        <v>0.67222222222222217</v>
      </c>
      <c r="P369" s="35">
        <f t="shared" si="62"/>
        <v>2.1856725146198852E-2</v>
      </c>
      <c r="R369" t="s">
        <v>293</v>
      </c>
      <c r="V369" s="35">
        <f>MAX(P374, P384, P401)</f>
        <v>8.0116959064327475E-2</v>
      </c>
    </row>
    <row r="370" spans="13:22" customFormat="1" x14ac:dyDescent="0.25">
      <c r="M370" t="s">
        <v>10</v>
      </c>
      <c r="N370" s="35">
        <f t="shared" si="63"/>
        <v>0.9078947368421052</v>
      </c>
      <c r="O370" s="35">
        <f t="shared" si="64"/>
        <v>0.82777777777777772</v>
      </c>
      <c r="P370" s="35">
        <f t="shared" si="62"/>
        <v>8.0116959064327475E-2</v>
      </c>
      <c r="T370" t="s">
        <v>147</v>
      </c>
    </row>
    <row r="371" spans="13:22" customFormat="1" x14ac:dyDescent="0.25">
      <c r="M371" t="s">
        <v>11</v>
      </c>
      <c r="N371" s="35">
        <f t="shared" si="63"/>
        <v>0.96381578947368418</v>
      </c>
      <c r="O371" s="35">
        <f t="shared" si="64"/>
        <v>0.93333333333333324</v>
      </c>
      <c r="P371" s="35">
        <f t="shared" si="62"/>
        <v>3.0482456140350944E-2</v>
      </c>
      <c r="S371" t="s">
        <v>190</v>
      </c>
      <c r="T371">
        <v>76</v>
      </c>
    </row>
    <row r="372" spans="13:22" customFormat="1" x14ac:dyDescent="0.25">
      <c r="M372" t="s">
        <v>12</v>
      </c>
      <c r="N372" s="35">
        <f t="shared" si="63"/>
        <v>0.98355263157894735</v>
      </c>
      <c r="O372" s="35">
        <f t="shared" si="64"/>
        <v>0.96666666666666656</v>
      </c>
      <c r="P372" s="35">
        <f t="shared" si="62"/>
        <v>1.6885964912280782E-2</v>
      </c>
      <c r="S372" t="s">
        <v>148</v>
      </c>
      <c r="T372">
        <v>90</v>
      </c>
    </row>
    <row r="373" spans="13:22" customFormat="1" x14ac:dyDescent="0.25">
      <c r="M373" t="s">
        <v>22</v>
      </c>
      <c r="N373" s="35">
        <f t="shared" si="63"/>
        <v>1</v>
      </c>
      <c r="O373" s="35">
        <f t="shared" si="64"/>
        <v>0.99999999999999989</v>
      </c>
      <c r="P373" s="35">
        <f t="shared" si="62"/>
        <v>1.1102230246251565E-16</v>
      </c>
    </row>
    <row r="374" spans="13:22" customFormat="1" x14ac:dyDescent="0.25">
      <c r="M374" t="s">
        <v>15</v>
      </c>
      <c r="N374" s="35"/>
      <c r="O374" s="35"/>
      <c r="P374" s="35">
        <f>MAX(P366:P373)</f>
        <v>8.0116959064327475E-2</v>
      </c>
    </row>
    <row r="375" spans="13:22" customFormat="1" x14ac:dyDescent="0.25">
      <c r="M375" t="s">
        <v>161</v>
      </c>
      <c r="N375" s="35"/>
      <c r="O375" s="35"/>
    </row>
    <row r="376" spans="13:22" customFormat="1" x14ac:dyDescent="0.25">
      <c r="M376" t="s">
        <v>93</v>
      </c>
      <c r="N376" s="35">
        <f t="shared" si="63"/>
        <v>5.5921052631578941E-2</v>
      </c>
      <c r="O376" s="35">
        <f t="shared" si="64"/>
        <v>6.9444444444444448E-2</v>
      </c>
      <c r="P376" s="35">
        <f>ABS(N376-O376)</f>
        <v>1.3523391812865507E-2</v>
      </c>
    </row>
    <row r="377" spans="13:22" customFormat="1" x14ac:dyDescent="0.25">
      <c r="M377" t="s">
        <v>16</v>
      </c>
      <c r="N377" s="35">
        <f t="shared" si="63"/>
        <v>0.10855263157894735</v>
      </c>
      <c r="O377" s="35">
        <f t="shared" si="64"/>
        <v>0.10833333333333334</v>
      </c>
      <c r="P377" s="35">
        <f t="shared" ref="P377:P383" si="65">ABS(N377-O377)</f>
        <v>2.1929824561400801E-4</v>
      </c>
    </row>
    <row r="378" spans="13:22" customFormat="1" x14ac:dyDescent="0.25">
      <c r="M378" t="s">
        <v>17</v>
      </c>
      <c r="N378" s="35">
        <f t="shared" si="63"/>
        <v>0.23355263157894735</v>
      </c>
      <c r="O378" s="35">
        <f t="shared" si="64"/>
        <v>0.30555555555555558</v>
      </c>
      <c r="P378" s="35">
        <f t="shared" si="65"/>
        <v>7.2002923976608235E-2</v>
      </c>
    </row>
    <row r="379" spans="13:22" customFormat="1" x14ac:dyDescent="0.25">
      <c r="M379" t="s">
        <v>18</v>
      </c>
      <c r="N379" s="35">
        <f t="shared" si="63"/>
        <v>0.45065789473684215</v>
      </c>
      <c r="O379" s="35">
        <f t="shared" si="64"/>
        <v>0.51944444444444449</v>
      </c>
      <c r="P379" s="35">
        <f t="shared" si="65"/>
        <v>6.878654970760234E-2</v>
      </c>
    </row>
    <row r="380" spans="13:22" customFormat="1" x14ac:dyDescent="0.25">
      <c r="M380" t="s">
        <v>19</v>
      </c>
      <c r="N380" s="35">
        <f t="shared" si="63"/>
        <v>0.76973684210526327</v>
      </c>
      <c r="O380" s="35">
        <f t="shared" si="64"/>
        <v>0.81111111111111112</v>
      </c>
      <c r="P380" s="35">
        <f t="shared" si="65"/>
        <v>4.1374269005847841E-2</v>
      </c>
    </row>
    <row r="381" spans="13:22" customFormat="1" x14ac:dyDescent="0.25">
      <c r="M381" t="s">
        <v>20</v>
      </c>
      <c r="N381" s="35">
        <f t="shared" si="63"/>
        <v>0.90460526315789491</v>
      </c>
      <c r="O381" s="35">
        <f t="shared" si="64"/>
        <v>0.90555555555555556</v>
      </c>
      <c r="P381" s="35">
        <f t="shared" si="65"/>
        <v>9.5029239766064588E-4</v>
      </c>
    </row>
    <row r="382" spans="13:22" customFormat="1" x14ac:dyDescent="0.25">
      <c r="M382" t="s">
        <v>21</v>
      </c>
      <c r="N382" s="35">
        <f t="shared" si="63"/>
        <v>0.97697368421052655</v>
      </c>
      <c r="O382" s="35">
        <f t="shared" si="64"/>
        <v>0.98333333333333339</v>
      </c>
      <c r="P382" s="35">
        <f t="shared" si="65"/>
        <v>6.359649122806843E-3</v>
      </c>
    </row>
    <row r="383" spans="13:22" customFormat="1" x14ac:dyDescent="0.25">
      <c r="M383" t="s">
        <v>23</v>
      </c>
      <c r="N383" s="35">
        <f t="shared" si="63"/>
        <v>1.0000000000000002</v>
      </c>
      <c r="O383" s="35">
        <f t="shared" si="64"/>
        <v>1</v>
      </c>
      <c r="P383" s="35">
        <f t="shared" si="65"/>
        <v>2.2204460492503131E-16</v>
      </c>
    </row>
    <row r="384" spans="13:22" customFormat="1" x14ac:dyDescent="0.25">
      <c r="M384" t="s">
        <v>15</v>
      </c>
      <c r="N384" s="35"/>
      <c r="O384" s="35"/>
      <c r="P384" s="35">
        <f>MAX(P376:P383)</f>
        <v>7.2002923976608235E-2</v>
      </c>
    </row>
    <row r="385" spans="13:16" customFormat="1" x14ac:dyDescent="0.25">
      <c r="M385" t="s">
        <v>162</v>
      </c>
      <c r="N385" s="35"/>
      <c r="O385" s="35"/>
    </row>
    <row r="386" spans="13:16" customFormat="1" x14ac:dyDescent="0.25">
      <c r="M386" t="s">
        <v>24</v>
      </c>
      <c r="N386" s="35">
        <f t="shared" si="63"/>
        <v>3.2894736842105261E-3</v>
      </c>
      <c r="O386" s="35">
        <f t="shared" si="64"/>
        <v>0</v>
      </c>
      <c r="P386" s="35">
        <f>ABS(N386-O386)</f>
        <v>3.2894736842105261E-3</v>
      </c>
    </row>
    <row r="387" spans="13:16" customFormat="1" x14ac:dyDescent="0.25">
      <c r="M387" t="s">
        <v>25</v>
      </c>
      <c r="N387" s="35">
        <f t="shared" si="63"/>
        <v>1.3157894736842105E-2</v>
      </c>
      <c r="O387" s="35">
        <f t="shared" si="64"/>
        <v>5.5555555555555558E-3</v>
      </c>
      <c r="P387" s="35">
        <f t="shared" ref="P387:P400" si="66">ABS(N387-O387)</f>
        <v>7.6023391812865488E-3</v>
      </c>
    </row>
    <row r="388" spans="13:16" customFormat="1" x14ac:dyDescent="0.25">
      <c r="M388" t="s">
        <v>26</v>
      </c>
      <c r="N388" s="35">
        <f t="shared" si="63"/>
        <v>1.9736842105263157E-2</v>
      </c>
      <c r="O388" s="35">
        <f t="shared" si="64"/>
        <v>2.7777777777777776E-2</v>
      </c>
      <c r="P388" s="35">
        <f t="shared" si="66"/>
        <v>8.0409356725146194E-3</v>
      </c>
    </row>
    <row r="389" spans="13:16" customFormat="1" x14ac:dyDescent="0.25">
      <c r="M389" t="s">
        <v>27</v>
      </c>
      <c r="N389" s="35">
        <f t="shared" si="63"/>
        <v>5.5921052631578941E-2</v>
      </c>
      <c r="O389" s="35">
        <f t="shared" si="64"/>
        <v>4.7222222222222221E-2</v>
      </c>
      <c r="P389" s="35">
        <f t="shared" si="66"/>
        <v>8.6988304093567198E-3</v>
      </c>
    </row>
    <row r="390" spans="13:16" customFormat="1" x14ac:dyDescent="0.25">
      <c r="M390" t="s">
        <v>28</v>
      </c>
      <c r="N390" s="35">
        <f t="shared" si="63"/>
        <v>9.5394736842105254E-2</v>
      </c>
      <c r="O390" s="35">
        <f t="shared" si="64"/>
        <v>8.6111111111111097E-2</v>
      </c>
      <c r="P390" s="35">
        <f t="shared" si="66"/>
        <v>9.2836257309941578E-3</v>
      </c>
    </row>
    <row r="391" spans="13:16" customFormat="1" x14ac:dyDescent="0.25">
      <c r="M391" t="s">
        <v>29</v>
      </c>
      <c r="N391" s="35">
        <f t="shared" si="63"/>
        <v>0.21710526315789469</v>
      </c>
      <c r="O391" s="35">
        <f t="shared" si="64"/>
        <v>0.18888888888888886</v>
      </c>
      <c r="P391" s="35">
        <f t="shared" si="66"/>
        <v>2.8216374269005834E-2</v>
      </c>
    </row>
    <row r="392" spans="13:16" customFormat="1" x14ac:dyDescent="0.25">
      <c r="M392" t="s">
        <v>30</v>
      </c>
      <c r="N392" s="35">
        <f t="shared" si="63"/>
        <v>0.42434210526315785</v>
      </c>
      <c r="O392" s="35">
        <f t="shared" si="64"/>
        <v>0.43611111111111106</v>
      </c>
      <c r="P392" s="35">
        <f t="shared" si="66"/>
        <v>1.1769005847953207E-2</v>
      </c>
    </row>
    <row r="393" spans="13:16" customFormat="1" x14ac:dyDescent="0.25">
      <c r="M393" t="s">
        <v>31</v>
      </c>
      <c r="N393" s="35">
        <f t="shared" si="63"/>
        <v>0.7532894736842104</v>
      </c>
      <c r="O393" s="35">
        <f t="shared" si="64"/>
        <v>0.80555555555555547</v>
      </c>
      <c r="P393" s="35">
        <f t="shared" si="66"/>
        <v>5.2266081871345071E-2</v>
      </c>
    </row>
    <row r="394" spans="13:16" customFormat="1" x14ac:dyDescent="0.25">
      <c r="M394" t="s">
        <v>32</v>
      </c>
      <c r="N394" s="35">
        <f t="shared" si="63"/>
        <v>0.90460526315789458</v>
      </c>
      <c r="O394" s="35">
        <f t="shared" si="64"/>
        <v>0.9277777777777777</v>
      </c>
      <c r="P394" s="35">
        <f t="shared" si="66"/>
        <v>2.3172514619883122E-2</v>
      </c>
    </row>
    <row r="395" spans="13:16" customFormat="1" x14ac:dyDescent="0.25">
      <c r="M395" t="s">
        <v>33</v>
      </c>
      <c r="N395" s="35">
        <f t="shared" si="63"/>
        <v>0.97039473684210509</v>
      </c>
      <c r="O395" s="35">
        <f t="shared" si="64"/>
        <v>0.9638888888888888</v>
      </c>
      <c r="P395" s="35">
        <f t="shared" si="66"/>
        <v>6.5058479532162927E-3</v>
      </c>
    </row>
    <row r="396" spans="13:16" customFormat="1" x14ac:dyDescent="0.25">
      <c r="M396" t="s">
        <v>34</v>
      </c>
      <c r="N396" s="35">
        <f t="shared" si="63"/>
        <v>0.97697368421052611</v>
      </c>
      <c r="O396" s="35">
        <f t="shared" si="64"/>
        <v>0.98333333333333317</v>
      </c>
      <c r="P396" s="35">
        <f t="shared" si="66"/>
        <v>6.3596491228070651E-3</v>
      </c>
    </row>
    <row r="397" spans="13:16" customFormat="1" x14ac:dyDescent="0.25">
      <c r="M397" t="s">
        <v>35</v>
      </c>
      <c r="N397" s="35">
        <f t="shared" si="63"/>
        <v>0.98684210526315763</v>
      </c>
      <c r="O397" s="35">
        <f t="shared" si="64"/>
        <v>0.99166666666666647</v>
      </c>
      <c r="P397" s="35">
        <f t="shared" si="66"/>
        <v>4.8245614035088424E-3</v>
      </c>
    </row>
    <row r="398" spans="13:16" customFormat="1" x14ac:dyDescent="0.25">
      <c r="M398" t="s">
        <v>36</v>
      </c>
      <c r="N398" s="35">
        <f t="shared" si="63"/>
        <v>0.98684210526315763</v>
      </c>
      <c r="O398" s="35">
        <f t="shared" si="64"/>
        <v>0.99166666666666647</v>
      </c>
      <c r="P398" s="35">
        <f t="shared" si="66"/>
        <v>4.8245614035088424E-3</v>
      </c>
    </row>
    <row r="399" spans="13:16" customFormat="1" x14ac:dyDescent="0.25">
      <c r="M399" t="s">
        <v>37</v>
      </c>
      <c r="N399" s="35">
        <f t="shared" si="63"/>
        <v>0.99013157894736814</v>
      </c>
      <c r="O399" s="35">
        <f t="shared" si="64"/>
        <v>0.99722222222222201</v>
      </c>
      <c r="P399" s="35">
        <f t="shared" si="66"/>
        <v>7.0906432748538695E-3</v>
      </c>
    </row>
    <row r="400" spans="13:16" customFormat="1" x14ac:dyDescent="0.25">
      <c r="M400" t="s">
        <v>38</v>
      </c>
      <c r="N400" s="35">
        <f t="shared" si="63"/>
        <v>0.99999999999999967</v>
      </c>
      <c r="O400" s="35">
        <f t="shared" si="64"/>
        <v>0.99999999999999978</v>
      </c>
      <c r="P400" s="35">
        <f t="shared" si="66"/>
        <v>1.1102230246251565E-16</v>
      </c>
    </row>
    <row r="401" spans="13:16" customFormat="1" x14ac:dyDescent="0.25">
      <c r="M401" t="s">
        <v>15</v>
      </c>
      <c r="N401" s="35"/>
      <c r="O401" s="35"/>
      <c r="P401" s="35">
        <f>MAX(P386:P400)</f>
        <v>5.2266081871345071E-2</v>
      </c>
    </row>
    <row r="402" spans="13:16" customFormat="1" x14ac:dyDescent="0.25">
      <c r="M402" t="s">
        <v>163</v>
      </c>
      <c r="N402" s="35"/>
      <c r="O402" s="35"/>
    </row>
    <row r="403" spans="13:16" customFormat="1" x14ac:dyDescent="0.25">
      <c r="M403" t="s">
        <v>40</v>
      </c>
      <c r="N403" s="35">
        <f t="shared" si="63"/>
        <v>3.2894736842105261E-3</v>
      </c>
      <c r="O403" s="35">
        <f t="shared" si="64"/>
        <v>2.2222222222222223E-2</v>
      </c>
      <c r="P403" s="35">
        <f>ABS(N403-O403)</f>
        <v>1.8932748538011697E-2</v>
      </c>
    </row>
    <row r="404" spans="13:16" customFormat="1" x14ac:dyDescent="0.25">
      <c r="M404" t="s">
        <v>41</v>
      </c>
      <c r="N404" s="35">
        <f t="shared" si="63"/>
        <v>3.2894736842105261E-3</v>
      </c>
      <c r="O404" s="35">
        <f t="shared" si="64"/>
        <v>3.0555555555555558E-2</v>
      </c>
      <c r="P404" s="35">
        <f t="shared" ref="P404:P417" si="67">ABS(N404-O404)</f>
        <v>2.7266081871345032E-2</v>
      </c>
    </row>
    <row r="405" spans="13:16" customFormat="1" x14ac:dyDescent="0.25">
      <c r="M405" t="s">
        <v>42</v>
      </c>
      <c r="N405" s="35">
        <f t="shared" si="63"/>
        <v>2.3026315789473683E-2</v>
      </c>
      <c r="O405" s="35">
        <f t="shared" si="64"/>
        <v>4.4444444444444446E-2</v>
      </c>
      <c r="P405" s="35">
        <f t="shared" si="67"/>
        <v>2.1418128654970763E-2</v>
      </c>
    </row>
    <row r="406" spans="13:16" customFormat="1" x14ac:dyDescent="0.25">
      <c r="M406" t="s">
        <v>43</v>
      </c>
      <c r="N406" s="35">
        <f t="shared" si="63"/>
        <v>3.9473684210526314E-2</v>
      </c>
      <c r="O406" s="35">
        <f t="shared" si="64"/>
        <v>5.2777777777777778E-2</v>
      </c>
      <c r="P406" s="35">
        <f t="shared" si="67"/>
        <v>1.3304093567251464E-2</v>
      </c>
    </row>
    <row r="407" spans="13:16" customFormat="1" x14ac:dyDescent="0.25">
      <c r="M407" t="s">
        <v>44</v>
      </c>
      <c r="N407" s="35">
        <f t="shared" si="63"/>
        <v>9.2105263157894718E-2</v>
      </c>
      <c r="O407" s="35">
        <f t="shared" si="64"/>
        <v>0.11944444444444444</v>
      </c>
      <c r="P407" s="35">
        <f t="shared" si="67"/>
        <v>2.7339181286549719E-2</v>
      </c>
    </row>
    <row r="408" spans="13:16" customFormat="1" x14ac:dyDescent="0.25">
      <c r="M408" t="s">
        <v>45</v>
      </c>
      <c r="N408" s="35">
        <f t="shared" si="63"/>
        <v>0.13815789473684209</v>
      </c>
      <c r="O408" s="35">
        <f t="shared" si="64"/>
        <v>0.24444444444444444</v>
      </c>
      <c r="P408" s="35">
        <f t="shared" si="67"/>
        <v>0.10628654970760235</v>
      </c>
    </row>
    <row r="409" spans="13:16" customFormat="1" x14ac:dyDescent="0.25">
      <c r="M409" t="s">
        <v>46</v>
      </c>
      <c r="N409" s="35">
        <f t="shared" si="63"/>
        <v>0.29276315789473689</v>
      </c>
      <c r="O409" s="35">
        <f t="shared" si="64"/>
        <v>0.38055555555555559</v>
      </c>
      <c r="P409" s="35">
        <f t="shared" si="67"/>
        <v>8.77923976608187E-2</v>
      </c>
    </row>
    <row r="410" spans="13:16" customFormat="1" x14ac:dyDescent="0.25">
      <c r="M410" t="s">
        <v>47</v>
      </c>
      <c r="N410" s="35">
        <f t="shared" si="63"/>
        <v>0.50657894736842113</v>
      </c>
      <c r="O410" s="35">
        <f t="shared" si="64"/>
        <v>0.56944444444444442</v>
      </c>
      <c r="P410" s="35">
        <f t="shared" si="67"/>
        <v>6.2865497076023291E-2</v>
      </c>
    </row>
    <row r="411" spans="13:16" customFormat="1" x14ac:dyDescent="0.25">
      <c r="M411" t="s">
        <v>48</v>
      </c>
      <c r="N411" s="35">
        <f t="shared" si="63"/>
        <v>0.73355263157894746</v>
      </c>
      <c r="O411" s="35">
        <f t="shared" si="64"/>
        <v>0.76111111111111107</v>
      </c>
      <c r="P411" s="35">
        <f t="shared" si="67"/>
        <v>2.7558479532163616E-2</v>
      </c>
    </row>
    <row r="412" spans="13:16" customFormat="1" x14ac:dyDescent="0.25">
      <c r="M412" t="s">
        <v>49</v>
      </c>
      <c r="N412" s="35">
        <f t="shared" si="63"/>
        <v>0.83223684210526316</v>
      </c>
      <c r="O412" s="35">
        <f t="shared" si="64"/>
        <v>0.85</v>
      </c>
      <c r="P412" s="35">
        <f t="shared" si="67"/>
        <v>1.7763157894736814E-2</v>
      </c>
    </row>
    <row r="413" spans="13:16" customFormat="1" x14ac:dyDescent="0.25">
      <c r="M413" t="s">
        <v>50</v>
      </c>
      <c r="N413" s="35">
        <f t="shared" si="63"/>
        <v>0.94407894736842102</v>
      </c>
      <c r="O413" s="35">
        <f t="shared" si="64"/>
        <v>0.93055555555555547</v>
      </c>
      <c r="P413" s="35">
        <f t="shared" si="67"/>
        <v>1.3523391812865548E-2</v>
      </c>
    </row>
    <row r="414" spans="13:16" customFormat="1" x14ac:dyDescent="0.25">
      <c r="M414" t="s">
        <v>51</v>
      </c>
      <c r="N414" s="35">
        <f t="shared" si="63"/>
        <v>0.99342105263157898</v>
      </c>
      <c r="O414" s="35">
        <f t="shared" si="64"/>
        <v>0.95833333333333326</v>
      </c>
      <c r="P414" s="35">
        <f t="shared" si="67"/>
        <v>3.5087719298245723E-2</v>
      </c>
    </row>
    <row r="415" spans="13:16" customFormat="1" x14ac:dyDescent="0.25">
      <c r="M415" t="s">
        <v>52</v>
      </c>
      <c r="N415" s="35">
        <f t="shared" si="63"/>
        <v>1</v>
      </c>
      <c r="O415" s="35">
        <f t="shared" si="64"/>
        <v>0.99166666666666659</v>
      </c>
      <c r="P415" s="35">
        <f t="shared" si="67"/>
        <v>8.3333333333334147E-3</v>
      </c>
    </row>
    <row r="416" spans="13:16" customFormat="1" x14ac:dyDescent="0.25">
      <c r="M416" t="s">
        <v>53</v>
      </c>
      <c r="N416" s="35">
        <f t="shared" si="63"/>
        <v>1</v>
      </c>
      <c r="O416" s="35">
        <f t="shared" si="64"/>
        <v>0.99722222222222212</v>
      </c>
      <c r="P416" s="35">
        <f t="shared" si="67"/>
        <v>2.7777777777778789E-3</v>
      </c>
    </row>
    <row r="417" spans="13:23" customFormat="1" x14ac:dyDescent="0.25">
      <c r="M417" t="s">
        <v>54</v>
      </c>
      <c r="N417" s="35">
        <f t="shared" si="63"/>
        <v>1</v>
      </c>
      <c r="O417" s="35">
        <f t="shared" si="64"/>
        <v>0.99999999999999989</v>
      </c>
      <c r="P417" s="35">
        <f t="shared" si="67"/>
        <v>1.1102230246251565E-16</v>
      </c>
    </row>
    <row r="418" spans="13:23" customFormat="1" x14ac:dyDescent="0.25">
      <c r="M418" t="s">
        <v>15</v>
      </c>
      <c r="P418" s="35">
        <f>MAX(P403:P417)</f>
        <v>0.10628654970760235</v>
      </c>
    </row>
    <row r="420" spans="13:23" customFormat="1" x14ac:dyDescent="0.25">
      <c r="M420" s="37" t="s">
        <v>194</v>
      </c>
      <c r="T420" t="s">
        <v>153</v>
      </c>
    </row>
    <row r="421" spans="13:23" customFormat="1" x14ac:dyDescent="0.25">
      <c r="M421" t="s">
        <v>160</v>
      </c>
      <c r="N421" t="s">
        <v>195</v>
      </c>
      <c r="O421" t="s">
        <v>13</v>
      </c>
      <c r="P421" t="s">
        <v>39</v>
      </c>
      <c r="T421" t="s">
        <v>145</v>
      </c>
      <c r="U421" t="s">
        <v>146</v>
      </c>
      <c r="V421" t="s">
        <v>150</v>
      </c>
    </row>
    <row r="422" spans="13:23" customFormat="1" x14ac:dyDescent="0.25">
      <c r="M422" t="s">
        <v>6</v>
      </c>
      <c r="N422" s="35">
        <f>N30</f>
        <v>2.1875000000000002E-2</v>
      </c>
      <c r="O422" s="35">
        <f>N86</f>
        <v>2.7777777777777779E-3</v>
      </c>
      <c r="P422" s="35">
        <f t="shared" ref="P422:P429" si="68">ABS(N422-O422)</f>
        <v>1.9097222222222224E-2</v>
      </c>
      <c r="T422">
        <v>0.1</v>
      </c>
      <c r="U422">
        <v>1.22</v>
      </c>
      <c r="V422">
        <f>SQRT((T427+T428)/(T427*T428))</f>
        <v>0.15365907428821479</v>
      </c>
      <c r="W422">
        <f>PRODUCT(V422, U422)</f>
        <v>0.18746407063162204</v>
      </c>
    </row>
    <row r="423" spans="13:23" customFormat="1" x14ac:dyDescent="0.25">
      <c r="M423" t="s">
        <v>7</v>
      </c>
      <c r="N423" s="35">
        <f t="shared" ref="N423:N473" si="69">N31</f>
        <v>8.4375000000000006E-2</v>
      </c>
      <c r="O423" s="35">
        <f t="shared" ref="O423:O473" si="70">N87</f>
        <v>7.4999999999999997E-2</v>
      </c>
      <c r="P423" s="35">
        <f t="shared" si="68"/>
        <v>9.3750000000000083E-3</v>
      </c>
      <c r="T423">
        <v>0.05</v>
      </c>
      <c r="U423">
        <v>1.36</v>
      </c>
      <c r="W423">
        <f>V422*U423</f>
        <v>0.20897634103197213</v>
      </c>
    </row>
    <row r="424" spans="13:23" customFormat="1" x14ac:dyDescent="0.25">
      <c r="M424" t="s">
        <v>8</v>
      </c>
      <c r="N424" s="35">
        <f t="shared" si="69"/>
        <v>0.33437499999999998</v>
      </c>
      <c r="O424" s="35">
        <f t="shared" si="70"/>
        <v>0.2722222222222222</v>
      </c>
      <c r="P424" s="35">
        <f t="shared" si="68"/>
        <v>6.2152777777777779E-2</v>
      </c>
      <c r="T424">
        <v>0.01</v>
      </c>
      <c r="U424">
        <v>1.63</v>
      </c>
      <c r="W424">
        <f>V422*U424</f>
        <v>0.25046429108979007</v>
      </c>
    </row>
    <row r="425" spans="13:23" customFormat="1" x14ac:dyDescent="0.25">
      <c r="M425" t="s">
        <v>9</v>
      </c>
      <c r="N425" s="35">
        <f t="shared" si="69"/>
        <v>0.73749999999999993</v>
      </c>
      <c r="O425" s="35">
        <f t="shared" si="70"/>
        <v>0.67222222222222217</v>
      </c>
      <c r="P425" s="35">
        <f t="shared" si="68"/>
        <v>6.5277777777777768E-2</v>
      </c>
      <c r="R425" t="s">
        <v>293</v>
      </c>
      <c r="V425" s="73">
        <f>MAX(P430, P440, P45)</f>
        <v>6.5277777777777768E-2</v>
      </c>
    </row>
    <row r="426" spans="13:23" customFormat="1" x14ac:dyDescent="0.25">
      <c r="M426" t="s">
        <v>10</v>
      </c>
      <c r="N426" s="35">
        <f t="shared" si="69"/>
        <v>0.890625</v>
      </c>
      <c r="O426" s="35">
        <f t="shared" si="70"/>
        <v>0.82777777777777772</v>
      </c>
      <c r="P426" s="35">
        <f t="shared" si="68"/>
        <v>6.2847222222222276E-2</v>
      </c>
      <c r="T426" t="s">
        <v>147</v>
      </c>
    </row>
    <row r="427" spans="13:23" customFormat="1" x14ac:dyDescent="0.25">
      <c r="M427" t="s">
        <v>11</v>
      </c>
      <c r="N427" s="35">
        <f t="shared" si="69"/>
        <v>0.94374999999999998</v>
      </c>
      <c r="O427" s="35">
        <f t="shared" si="70"/>
        <v>0.93333333333333324</v>
      </c>
      <c r="P427" s="35">
        <f t="shared" si="68"/>
        <v>1.0416666666666741E-2</v>
      </c>
      <c r="S427" t="s">
        <v>183</v>
      </c>
      <c r="T427">
        <v>80</v>
      </c>
    </row>
    <row r="428" spans="13:23" customFormat="1" x14ac:dyDescent="0.25">
      <c r="M428" t="s">
        <v>12</v>
      </c>
      <c r="N428" s="35">
        <f t="shared" si="69"/>
        <v>0.97499999999999998</v>
      </c>
      <c r="O428" s="35">
        <f t="shared" si="70"/>
        <v>0.96666666666666656</v>
      </c>
      <c r="P428" s="35">
        <f t="shared" si="68"/>
        <v>8.3333333333334147E-3</v>
      </c>
      <c r="S428" t="s">
        <v>148</v>
      </c>
      <c r="T428">
        <v>90</v>
      </c>
    </row>
    <row r="429" spans="13:23" customFormat="1" x14ac:dyDescent="0.25">
      <c r="M429" t="s">
        <v>22</v>
      </c>
      <c r="N429" s="35">
        <f t="shared" si="69"/>
        <v>1</v>
      </c>
      <c r="O429" s="35">
        <f t="shared" si="70"/>
        <v>0.99999999999999989</v>
      </c>
      <c r="P429" s="35">
        <f t="shared" si="68"/>
        <v>1.1102230246251565E-16</v>
      </c>
    </row>
    <row r="430" spans="13:23" customFormat="1" x14ac:dyDescent="0.25">
      <c r="M430" t="s">
        <v>15</v>
      </c>
      <c r="N430" s="35"/>
      <c r="O430" s="35"/>
      <c r="P430" s="35">
        <f>MAX(P422:P429)</f>
        <v>6.5277777777777768E-2</v>
      </c>
    </row>
    <row r="431" spans="13:23" customFormat="1" x14ac:dyDescent="0.25">
      <c r="M431" t="s">
        <v>161</v>
      </c>
      <c r="N431" s="35"/>
      <c r="O431" s="35"/>
    </row>
    <row r="432" spans="13:23" customFormat="1" x14ac:dyDescent="0.25">
      <c r="M432" t="s">
        <v>93</v>
      </c>
      <c r="N432" s="35">
        <f t="shared" si="69"/>
        <v>8.1250000000000003E-2</v>
      </c>
      <c r="O432" s="35">
        <f t="shared" si="70"/>
        <v>6.9444444444444448E-2</v>
      </c>
      <c r="P432" s="35">
        <f>ABS(N432-O432)</f>
        <v>1.1805555555555555E-2</v>
      </c>
    </row>
    <row r="433" spans="13:16" customFormat="1" x14ac:dyDescent="0.25">
      <c r="M433" t="s">
        <v>16</v>
      </c>
      <c r="N433" s="35">
        <f t="shared" si="69"/>
        <v>0.15625</v>
      </c>
      <c r="O433" s="35">
        <f t="shared" si="70"/>
        <v>0.10833333333333334</v>
      </c>
      <c r="P433" s="35">
        <f t="shared" ref="P433:P439" si="71">ABS(N433-O433)</f>
        <v>4.7916666666666663E-2</v>
      </c>
    </row>
    <row r="434" spans="13:16" customFormat="1" x14ac:dyDescent="0.25">
      <c r="M434" t="s">
        <v>17</v>
      </c>
      <c r="N434" s="35">
        <f t="shared" si="69"/>
        <v>0.28749999999999998</v>
      </c>
      <c r="O434" s="35">
        <f t="shared" si="70"/>
        <v>0.30555555555555558</v>
      </c>
      <c r="P434" s="35">
        <f t="shared" si="71"/>
        <v>1.8055555555555602E-2</v>
      </c>
    </row>
    <row r="435" spans="13:16" customFormat="1" x14ac:dyDescent="0.25">
      <c r="M435" t="s">
        <v>18</v>
      </c>
      <c r="N435" s="35">
        <f t="shared" si="69"/>
        <v>0.47499999999999998</v>
      </c>
      <c r="O435" s="35">
        <f t="shared" si="70"/>
        <v>0.51944444444444449</v>
      </c>
      <c r="P435" s="35">
        <f t="shared" si="71"/>
        <v>4.4444444444444509E-2</v>
      </c>
    </row>
    <row r="436" spans="13:16" customFormat="1" x14ac:dyDescent="0.25">
      <c r="M436" t="s">
        <v>19</v>
      </c>
      <c r="N436" s="35">
        <f t="shared" si="69"/>
        <v>0.77499999999999991</v>
      </c>
      <c r="O436" s="35">
        <f t="shared" si="70"/>
        <v>0.81111111111111112</v>
      </c>
      <c r="P436" s="35">
        <f t="shared" si="71"/>
        <v>3.6111111111111205E-2</v>
      </c>
    </row>
    <row r="437" spans="13:16" customFormat="1" x14ac:dyDescent="0.25">
      <c r="M437" t="s">
        <v>20</v>
      </c>
      <c r="N437" s="35">
        <f t="shared" si="69"/>
        <v>0.92187499999999989</v>
      </c>
      <c r="O437" s="35">
        <f t="shared" si="70"/>
        <v>0.90555555555555556</v>
      </c>
      <c r="P437" s="35">
        <f t="shared" si="71"/>
        <v>1.6319444444444331E-2</v>
      </c>
    </row>
    <row r="438" spans="13:16" customFormat="1" x14ac:dyDescent="0.25">
      <c r="M438" t="s">
        <v>21</v>
      </c>
      <c r="N438" s="35">
        <f t="shared" si="69"/>
        <v>0.97812499999999991</v>
      </c>
      <c r="O438" s="35">
        <f t="shared" si="70"/>
        <v>0.98333333333333339</v>
      </c>
      <c r="P438" s="35">
        <f t="shared" si="71"/>
        <v>5.2083333333334814E-3</v>
      </c>
    </row>
    <row r="439" spans="13:16" customFormat="1" x14ac:dyDescent="0.25">
      <c r="M439" t="s">
        <v>23</v>
      </c>
      <c r="N439" s="35">
        <f t="shared" si="69"/>
        <v>0.99999999999999989</v>
      </c>
      <c r="O439" s="35">
        <f t="shared" si="70"/>
        <v>1</v>
      </c>
      <c r="P439" s="35">
        <f t="shared" si="71"/>
        <v>1.1102230246251565E-16</v>
      </c>
    </row>
    <row r="440" spans="13:16" customFormat="1" x14ac:dyDescent="0.25">
      <c r="M440" t="s">
        <v>15</v>
      </c>
      <c r="N440" s="35"/>
      <c r="O440" s="35"/>
      <c r="P440" s="35">
        <f>MAX(P432:P439)</f>
        <v>4.7916666666666663E-2</v>
      </c>
    </row>
    <row r="441" spans="13:16" customFormat="1" x14ac:dyDescent="0.25">
      <c r="M441" t="s">
        <v>162</v>
      </c>
      <c r="N441" s="35"/>
      <c r="O441" s="35"/>
    </row>
    <row r="442" spans="13:16" customFormat="1" x14ac:dyDescent="0.25">
      <c r="M442" t="s">
        <v>24</v>
      </c>
      <c r="N442" s="35">
        <f t="shared" si="69"/>
        <v>3.1250000000000002E-3</v>
      </c>
      <c r="O442" s="35">
        <f t="shared" si="70"/>
        <v>0</v>
      </c>
      <c r="P442" s="35">
        <f>ABS(N442-O442)</f>
        <v>3.1250000000000002E-3</v>
      </c>
    </row>
    <row r="443" spans="13:16" customFormat="1" x14ac:dyDescent="0.25">
      <c r="M443" t="s">
        <v>25</v>
      </c>
      <c r="N443" s="35">
        <f t="shared" si="69"/>
        <v>1.2500000000000001E-2</v>
      </c>
      <c r="O443" s="35">
        <f t="shared" si="70"/>
        <v>5.5555555555555558E-3</v>
      </c>
      <c r="P443" s="35">
        <f t="shared" ref="P443:P456" si="72">ABS(N443-O443)</f>
        <v>6.9444444444444449E-3</v>
      </c>
    </row>
    <row r="444" spans="13:16" customFormat="1" x14ac:dyDescent="0.25">
      <c r="M444" t="s">
        <v>26</v>
      </c>
      <c r="N444" s="35">
        <f t="shared" si="69"/>
        <v>2.5000000000000001E-2</v>
      </c>
      <c r="O444" s="35">
        <f t="shared" si="70"/>
        <v>2.7777777777777776E-2</v>
      </c>
      <c r="P444" s="35">
        <f t="shared" si="72"/>
        <v>2.7777777777777748E-3</v>
      </c>
    </row>
    <row r="445" spans="13:16" customFormat="1" x14ac:dyDescent="0.25">
      <c r="M445" t="s">
        <v>27</v>
      </c>
      <c r="N445" s="35">
        <f t="shared" si="69"/>
        <v>6.5624999999999989E-2</v>
      </c>
      <c r="O445" s="35">
        <f t="shared" si="70"/>
        <v>4.7222222222222221E-2</v>
      </c>
      <c r="P445" s="35">
        <f t="shared" si="72"/>
        <v>1.8402777777777768E-2</v>
      </c>
    </row>
    <row r="446" spans="13:16" customFormat="1" x14ac:dyDescent="0.25">
      <c r="M446" t="s">
        <v>28</v>
      </c>
      <c r="N446" s="35">
        <f t="shared" si="69"/>
        <v>0.15937499999999999</v>
      </c>
      <c r="O446" s="35">
        <f t="shared" si="70"/>
        <v>8.6111111111111097E-2</v>
      </c>
      <c r="P446" s="35">
        <f t="shared" si="72"/>
        <v>7.3263888888888892E-2</v>
      </c>
    </row>
    <row r="447" spans="13:16" customFormat="1" x14ac:dyDescent="0.25">
      <c r="M447" t="s">
        <v>29</v>
      </c>
      <c r="N447" s="35">
        <f t="shared" si="69"/>
        <v>0.27187499999999998</v>
      </c>
      <c r="O447" s="35">
        <f t="shared" si="70"/>
        <v>0.18888888888888886</v>
      </c>
      <c r="P447" s="35">
        <f t="shared" si="72"/>
        <v>8.2986111111111122E-2</v>
      </c>
    </row>
    <row r="448" spans="13:16" customFormat="1" x14ac:dyDescent="0.25">
      <c r="M448" t="s">
        <v>30</v>
      </c>
      <c r="N448" s="35">
        <f t="shared" si="69"/>
        <v>0.42812499999999998</v>
      </c>
      <c r="O448" s="35">
        <f t="shared" si="70"/>
        <v>0.43611111111111106</v>
      </c>
      <c r="P448" s="35">
        <f t="shared" si="72"/>
        <v>7.9861111111110827E-3</v>
      </c>
    </row>
    <row r="449" spans="13:16" customFormat="1" x14ac:dyDescent="0.25">
      <c r="M449" t="s">
        <v>31</v>
      </c>
      <c r="N449" s="35">
        <f t="shared" si="69"/>
        <v>0.79999999999999993</v>
      </c>
      <c r="O449" s="35">
        <f t="shared" si="70"/>
        <v>0.80555555555555547</v>
      </c>
      <c r="P449" s="35">
        <f t="shared" si="72"/>
        <v>5.5555555555555358E-3</v>
      </c>
    </row>
    <row r="450" spans="13:16" customFormat="1" x14ac:dyDescent="0.25">
      <c r="M450" t="s">
        <v>32</v>
      </c>
      <c r="N450" s="35">
        <f t="shared" si="69"/>
        <v>0.921875</v>
      </c>
      <c r="O450" s="35">
        <f t="shared" si="70"/>
        <v>0.9277777777777777</v>
      </c>
      <c r="P450" s="35">
        <f t="shared" si="72"/>
        <v>5.9027777777777013E-3</v>
      </c>
    </row>
    <row r="451" spans="13:16" customFormat="1" x14ac:dyDescent="0.25">
      <c r="M451" t="s">
        <v>33</v>
      </c>
      <c r="N451" s="35">
        <f t="shared" si="69"/>
        <v>0.98124999999999984</v>
      </c>
      <c r="O451" s="35">
        <f t="shared" si="70"/>
        <v>0.9638888888888888</v>
      </c>
      <c r="P451" s="35">
        <f t="shared" si="72"/>
        <v>1.7361111111111049E-2</v>
      </c>
    </row>
    <row r="452" spans="13:16" customFormat="1" x14ac:dyDescent="0.25">
      <c r="M452" t="s">
        <v>34</v>
      </c>
      <c r="N452" s="35">
        <f t="shared" si="69"/>
        <v>0.99375000000000002</v>
      </c>
      <c r="O452" s="35">
        <f t="shared" si="70"/>
        <v>0.98333333333333317</v>
      </c>
      <c r="P452" s="35">
        <f t="shared" si="72"/>
        <v>1.0416666666666852E-2</v>
      </c>
    </row>
    <row r="453" spans="13:16" customFormat="1" x14ac:dyDescent="0.25">
      <c r="M453" t="s">
        <v>35</v>
      </c>
      <c r="N453" s="35">
        <f t="shared" si="69"/>
        <v>1</v>
      </c>
      <c r="O453" s="35">
        <f t="shared" si="70"/>
        <v>0.99166666666666647</v>
      </c>
      <c r="P453" s="35">
        <f t="shared" si="72"/>
        <v>8.3333333333335258E-3</v>
      </c>
    </row>
    <row r="454" spans="13:16" customFormat="1" x14ac:dyDescent="0.25">
      <c r="M454" t="s">
        <v>36</v>
      </c>
      <c r="N454" s="35">
        <f t="shared" si="69"/>
        <v>1</v>
      </c>
      <c r="O454" s="35">
        <f t="shared" si="70"/>
        <v>0.99166666666666647</v>
      </c>
      <c r="P454" s="35">
        <f t="shared" si="72"/>
        <v>8.3333333333335258E-3</v>
      </c>
    </row>
    <row r="455" spans="13:16" customFormat="1" x14ac:dyDescent="0.25">
      <c r="M455" t="s">
        <v>37</v>
      </c>
      <c r="N455" s="35">
        <f t="shared" si="69"/>
        <v>1</v>
      </c>
      <c r="O455" s="35">
        <f t="shared" si="70"/>
        <v>0.99722222222222201</v>
      </c>
      <c r="P455" s="35">
        <f t="shared" si="72"/>
        <v>2.77777777777799E-3</v>
      </c>
    </row>
    <row r="456" spans="13:16" customFormat="1" x14ac:dyDescent="0.25">
      <c r="M456" t="s">
        <v>38</v>
      </c>
      <c r="N456" s="35">
        <f t="shared" si="69"/>
        <v>1</v>
      </c>
      <c r="O456" s="35">
        <f t="shared" si="70"/>
        <v>0.99999999999999978</v>
      </c>
      <c r="P456" s="35">
        <f t="shared" si="72"/>
        <v>2.2204460492503131E-16</v>
      </c>
    </row>
    <row r="457" spans="13:16" customFormat="1" x14ac:dyDescent="0.25">
      <c r="M457" t="s">
        <v>15</v>
      </c>
      <c r="N457" s="35"/>
      <c r="O457" s="35"/>
      <c r="P457" s="35">
        <f>MAX(P442:P456)</f>
        <v>8.2986111111111122E-2</v>
      </c>
    </row>
    <row r="458" spans="13:16" customFormat="1" x14ac:dyDescent="0.25">
      <c r="M458" t="s">
        <v>163</v>
      </c>
      <c r="N458" s="35"/>
      <c r="O458" s="35"/>
    </row>
    <row r="459" spans="13:16" customFormat="1" x14ac:dyDescent="0.25">
      <c r="M459" t="s">
        <v>40</v>
      </c>
      <c r="N459" s="35">
        <f t="shared" si="69"/>
        <v>9.3749999999999997E-3</v>
      </c>
      <c r="O459" s="35">
        <f t="shared" si="70"/>
        <v>2.2222222222222223E-2</v>
      </c>
      <c r="P459" s="35">
        <f>ABS(N459-O459)</f>
        <v>1.2847222222222223E-2</v>
      </c>
    </row>
    <row r="460" spans="13:16" customFormat="1" x14ac:dyDescent="0.25">
      <c r="M460" t="s">
        <v>41</v>
      </c>
      <c r="N460" s="35">
        <f t="shared" si="69"/>
        <v>1.8749999999999999E-2</v>
      </c>
      <c r="O460" s="35">
        <f t="shared" si="70"/>
        <v>3.0555555555555558E-2</v>
      </c>
      <c r="P460" s="35">
        <f t="shared" ref="P460:P473" si="73">ABS(N460-O460)</f>
        <v>1.1805555555555559E-2</v>
      </c>
    </row>
    <row r="461" spans="13:16" customFormat="1" x14ac:dyDescent="0.25">
      <c r="M461" t="s">
        <v>42</v>
      </c>
      <c r="N461" s="35">
        <f t="shared" si="69"/>
        <v>3.7499999999999999E-2</v>
      </c>
      <c r="O461" s="35">
        <f t="shared" si="70"/>
        <v>4.4444444444444446E-2</v>
      </c>
      <c r="P461" s="35">
        <f t="shared" si="73"/>
        <v>6.9444444444444475E-3</v>
      </c>
    </row>
    <row r="462" spans="13:16" customFormat="1" x14ac:dyDescent="0.25">
      <c r="M462" t="s">
        <v>43</v>
      </c>
      <c r="N462" s="35">
        <f t="shared" si="69"/>
        <v>6.8750000000000006E-2</v>
      </c>
      <c r="O462" s="35">
        <f t="shared" si="70"/>
        <v>5.2777777777777778E-2</v>
      </c>
      <c r="P462" s="35">
        <f t="shared" si="73"/>
        <v>1.5972222222222228E-2</v>
      </c>
    </row>
    <row r="463" spans="13:16" customFormat="1" x14ac:dyDescent="0.25">
      <c r="M463" t="s">
        <v>44</v>
      </c>
      <c r="N463" s="35">
        <f t="shared" si="69"/>
        <v>0.13125000000000001</v>
      </c>
      <c r="O463" s="35">
        <f t="shared" si="70"/>
        <v>0.11944444444444444</v>
      </c>
      <c r="P463" s="35">
        <f t="shared" si="73"/>
        <v>1.1805555555555569E-2</v>
      </c>
    </row>
    <row r="464" spans="13:16" customFormat="1" x14ac:dyDescent="0.25">
      <c r="M464" t="s">
        <v>45</v>
      </c>
      <c r="N464" s="35">
        <f t="shared" si="69"/>
        <v>0.19375000000000001</v>
      </c>
      <c r="O464" s="35">
        <f t="shared" si="70"/>
        <v>0.24444444444444444</v>
      </c>
      <c r="P464" s="35">
        <f t="shared" si="73"/>
        <v>5.0694444444444431E-2</v>
      </c>
    </row>
    <row r="465" spans="13:23" customFormat="1" x14ac:dyDescent="0.25">
      <c r="M465" t="s">
        <v>46</v>
      </c>
      <c r="N465" s="35">
        <f t="shared" si="69"/>
        <v>0.35</v>
      </c>
      <c r="O465" s="35">
        <f t="shared" si="70"/>
        <v>0.38055555555555559</v>
      </c>
      <c r="P465" s="35">
        <f t="shared" si="73"/>
        <v>3.0555555555555614E-2</v>
      </c>
    </row>
    <row r="466" spans="13:23" customFormat="1" x14ac:dyDescent="0.25">
      <c r="M466" t="s">
        <v>47</v>
      </c>
      <c r="N466" s="35">
        <f t="shared" si="69"/>
        <v>0.47499999999999998</v>
      </c>
      <c r="O466" s="35">
        <f t="shared" si="70"/>
        <v>0.56944444444444442</v>
      </c>
      <c r="P466" s="35">
        <f t="shared" si="73"/>
        <v>9.4444444444444442E-2</v>
      </c>
    </row>
    <row r="467" spans="13:23" customFormat="1" x14ac:dyDescent="0.25">
      <c r="M467" t="s">
        <v>48</v>
      </c>
      <c r="N467" s="35">
        <f t="shared" si="69"/>
        <v>0.70312499999999989</v>
      </c>
      <c r="O467" s="35">
        <f t="shared" si="70"/>
        <v>0.76111111111111107</v>
      </c>
      <c r="P467" s="35">
        <f t="shared" si="73"/>
        <v>5.7986111111111183E-2</v>
      </c>
    </row>
    <row r="468" spans="13:23" customFormat="1" x14ac:dyDescent="0.25">
      <c r="M468" t="s">
        <v>49</v>
      </c>
      <c r="N468" s="35">
        <f t="shared" si="69"/>
        <v>0.84062499999999984</v>
      </c>
      <c r="O468" s="35">
        <f t="shared" si="70"/>
        <v>0.85</v>
      </c>
      <c r="P468" s="35">
        <f t="shared" si="73"/>
        <v>9.3750000000001332E-3</v>
      </c>
    </row>
    <row r="469" spans="13:23" customFormat="1" x14ac:dyDescent="0.25">
      <c r="M469" t="s">
        <v>50</v>
      </c>
      <c r="N469" s="35">
        <f t="shared" si="69"/>
        <v>0.92812499999999976</v>
      </c>
      <c r="O469" s="35">
        <f t="shared" si="70"/>
        <v>0.93055555555555547</v>
      </c>
      <c r="P469" s="35">
        <f t="shared" si="73"/>
        <v>2.4305555555557135E-3</v>
      </c>
    </row>
    <row r="470" spans="13:23" customFormat="1" x14ac:dyDescent="0.25">
      <c r="M470" t="s">
        <v>51</v>
      </c>
      <c r="N470" s="35">
        <f t="shared" si="69"/>
        <v>0.95937499999999987</v>
      </c>
      <c r="O470" s="35">
        <f t="shared" si="70"/>
        <v>0.95833333333333326</v>
      </c>
      <c r="P470" s="35">
        <f t="shared" si="73"/>
        <v>1.0416666666666075E-3</v>
      </c>
    </row>
    <row r="471" spans="13:23" customFormat="1" x14ac:dyDescent="0.25">
      <c r="M471" t="s">
        <v>52</v>
      </c>
      <c r="N471" s="35">
        <f t="shared" si="69"/>
        <v>0.98437499999999989</v>
      </c>
      <c r="O471" s="35">
        <f t="shared" si="70"/>
        <v>0.99166666666666659</v>
      </c>
      <c r="P471" s="35">
        <f t="shared" si="73"/>
        <v>7.2916666666666963E-3</v>
      </c>
    </row>
    <row r="472" spans="13:23" customFormat="1" x14ac:dyDescent="0.25">
      <c r="M472" t="s">
        <v>53</v>
      </c>
      <c r="N472" s="35">
        <f t="shared" si="69"/>
        <v>0.98749999999999993</v>
      </c>
      <c r="O472" s="35">
        <f t="shared" si="70"/>
        <v>0.99722222222222212</v>
      </c>
      <c r="P472" s="35">
        <f t="shared" si="73"/>
        <v>9.7222222222221877E-3</v>
      </c>
    </row>
    <row r="473" spans="13:23" customFormat="1" x14ac:dyDescent="0.25">
      <c r="M473" t="s">
        <v>54</v>
      </c>
      <c r="N473" s="35">
        <f t="shared" si="69"/>
        <v>0.99999999999999989</v>
      </c>
      <c r="O473" s="35">
        <f t="shared" si="70"/>
        <v>0.99999999999999989</v>
      </c>
      <c r="P473" s="35">
        <f t="shared" si="73"/>
        <v>0</v>
      </c>
    </row>
    <row r="474" spans="13:23" customFormat="1" x14ac:dyDescent="0.25">
      <c r="M474" t="s">
        <v>15</v>
      </c>
      <c r="P474" s="35">
        <f>MAX(P459:P473)</f>
        <v>9.4444444444444442E-2</v>
      </c>
    </row>
    <row r="476" spans="13:23" customFormat="1" x14ac:dyDescent="0.25">
      <c r="M476" s="37" t="s">
        <v>220</v>
      </c>
      <c r="T476" t="s">
        <v>153</v>
      </c>
    </row>
    <row r="477" spans="13:23" customFormat="1" x14ac:dyDescent="0.25">
      <c r="M477" t="s">
        <v>160</v>
      </c>
      <c r="N477" t="s">
        <v>221</v>
      </c>
      <c r="O477" t="s">
        <v>178</v>
      </c>
      <c r="P477" t="s">
        <v>39</v>
      </c>
      <c r="T477" t="s">
        <v>145</v>
      </c>
      <c r="U477" t="s">
        <v>146</v>
      </c>
      <c r="V477" t="s">
        <v>150</v>
      </c>
    </row>
    <row r="478" spans="13:23" customFormat="1" x14ac:dyDescent="0.25">
      <c r="M478" t="s">
        <v>6</v>
      </c>
      <c r="N478" s="35">
        <f>(N30+N198)/2</f>
        <v>1.2582236842105264E-2</v>
      </c>
      <c r="O478" s="35">
        <f>O142</f>
        <v>1.5432098765432098E-2</v>
      </c>
      <c r="P478" s="35">
        <f t="shared" ref="P478:P485" si="74">ABS(N478-O478)</f>
        <v>2.8498619233268338E-3</v>
      </c>
      <c r="T478">
        <v>0.1</v>
      </c>
      <c r="U478">
        <v>1.22</v>
      </c>
      <c r="V478">
        <f>SQRT((T483+T484)/(T483*T484))</f>
        <v>0.13695231076035955</v>
      </c>
      <c r="W478">
        <f>PRODUCT(V478, U478)</f>
        <v>0.16708181912763864</v>
      </c>
    </row>
    <row r="479" spans="13:23" customFormat="1" x14ac:dyDescent="0.25">
      <c r="M479" t="s">
        <v>7</v>
      </c>
      <c r="N479" s="35">
        <f t="shared" ref="N479:N529" si="75">(N31+N199)/2</f>
        <v>4.7508707430340559E-2</v>
      </c>
      <c r="O479" s="35">
        <f t="shared" ref="O479:O529" si="76">O143</f>
        <v>6.4814814814814811E-2</v>
      </c>
      <c r="P479" s="35">
        <f t="shared" si="74"/>
        <v>1.7306107384474252E-2</v>
      </c>
      <c r="T479">
        <v>0.05</v>
      </c>
      <c r="U479">
        <v>1.36</v>
      </c>
      <c r="W479">
        <f>V478*U479</f>
        <v>0.18625514263408899</v>
      </c>
    </row>
    <row r="480" spans="13:23" customFormat="1" x14ac:dyDescent="0.25">
      <c r="M480" t="s">
        <v>8</v>
      </c>
      <c r="N480" s="35">
        <f t="shared" si="75"/>
        <v>0.32179276315789473</v>
      </c>
      <c r="O480" s="35">
        <f t="shared" si="76"/>
        <v>0.23456790123456789</v>
      </c>
      <c r="P480" s="35">
        <f t="shared" si="74"/>
        <v>8.7224861923326846E-2</v>
      </c>
      <c r="T480">
        <v>0.01</v>
      </c>
      <c r="U480">
        <v>1.63</v>
      </c>
      <c r="W480">
        <f>V478*U480</f>
        <v>0.22323226653938605</v>
      </c>
    </row>
    <row r="481" spans="13:22" customFormat="1" x14ac:dyDescent="0.25">
      <c r="M481" t="s">
        <v>9</v>
      </c>
      <c r="N481" s="35">
        <f t="shared" si="75"/>
        <v>0.71578947368421053</v>
      </c>
      <c r="O481" s="35">
        <f t="shared" si="76"/>
        <v>0.60802469135802473</v>
      </c>
      <c r="P481" s="35">
        <f t="shared" si="74"/>
        <v>0.1077647823261858</v>
      </c>
      <c r="R481" t="s">
        <v>293</v>
      </c>
      <c r="V481" s="35">
        <f>MAX(P486, P496, P513)</f>
        <v>0.11741796621182576</v>
      </c>
    </row>
    <row r="482" spans="13:22" customFormat="1" x14ac:dyDescent="0.25">
      <c r="M482" t="s">
        <v>10</v>
      </c>
      <c r="N482" s="35">
        <f t="shared" si="75"/>
        <v>0.89925986842105265</v>
      </c>
      <c r="O482" s="35">
        <f t="shared" si="76"/>
        <v>0.80555555555555558</v>
      </c>
      <c r="P482" s="35">
        <f t="shared" si="74"/>
        <v>9.3704312865497075E-2</v>
      </c>
      <c r="T482" t="s">
        <v>147</v>
      </c>
    </row>
    <row r="483" spans="13:22" customFormat="1" x14ac:dyDescent="0.25">
      <c r="M483" t="s">
        <v>11</v>
      </c>
      <c r="N483" s="35">
        <f t="shared" si="75"/>
        <v>0.95378289473684208</v>
      </c>
      <c r="O483" s="35">
        <f t="shared" si="76"/>
        <v>0.96296296296296302</v>
      </c>
      <c r="P483" s="35">
        <f t="shared" si="74"/>
        <v>9.180068226120941E-3</v>
      </c>
      <c r="S483" t="s">
        <v>222</v>
      </c>
      <c r="T483">
        <v>156</v>
      </c>
    </row>
    <row r="484" spans="13:22" customFormat="1" x14ac:dyDescent="0.25">
      <c r="M484" t="s">
        <v>12</v>
      </c>
      <c r="N484" s="35">
        <f t="shared" si="75"/>
        <v>0.97927631578947372</v>
      </c>
      <c r="O484" s="35">
        <f t="shared" si="76"/>
        <v>0.98765432098765438</v>
      </c>
      <c r="P484" s="35">
        <f t="shared" si="74"/>
        <v>8.3780051981806603E-3</v>
      </c>
      <c r="S484" t="s">
        <v>186</v>
      </c>
      <c r="T484">
        <v>81</v>
      </c>
    </row>
    <row r="485" spans="13:22" customFormat="1" x14ac:dyDescent="0.25">
      <c r="M485" t="s">
        <v>22</v>
      </c>
      <c r="N485" s="35">
        <f t="shared" si="75"/>
        <v>1</v>
      </c>
      <c r="O485" s="35">
        <f t="shared" si="76"/>
        <v>1</v>
      </c>
      <c r="P485" s="35">
        <f t="shared" si="74"/>
        <v>0</v>
      </c>
    </row>
    <row r="486" spans="13:22" customFormat="1" x14ac:dyDescent="0.25">
      <c r="M486" t="s">
        <v>15</v>
      </c>
      <c r="N486" s="35"/>
      <c r="O486" s="35"/>
      <c r="P486" s="35">
        <f>MAX(P478:P485)</f>
        <v>0.1077647823261858</v>
      </c>
    </row>
    <row r="487" spans="13:22" customFormat="1" x14ac:dyDescent="0.25">
      <c r="M487" t="s">
        <v>161</v>
      </c>
      <c r="N487" s="35"/>
      <c r="O487" s="35"/>
    </row>
    <row r="488" spans="13:22" customFormat="1" x14ac:dyDescent="0.25">
      <c r="M488" t="s">
        <v>93</v>
      </c>
      <c r="N488" s="35">
        <f t="shared" si="75"/>
        <v>6.8585526315789472E-2</v>
      </c>
      <c r="O488" s="35">
        <f t="shared" si="76"/>
        <v>2.4691358024691357E-2</v>
      </c>
      <c r="P488" s="35">
        <f>ABS(N488-O488)</f>
        <v>4.3894168291098115E-2</v>
      </c>
    </row>
    <row r="489" spans="13:22" customFormat="1" x14ac:dyDescent="0.25">
      <c r="M489" t="s">
        <v>16</v>
      </c>
      <c r="N489" s="35">
        <f t="shared" si="75"/>
        <v>0.13240131578947367</v>
      </c>
      <c r="O489" s="35">
        <f t="shared" si="76"/>
        <v>8.0246913580246909E-2</v>
      </c>
      <c r="P489" s="35">
        <f t="shared" ref="P489:P495" si="77">ABS(N489-O489)</f>
        <v>5.2154402209226763E-2</v>
      </c>
    </row>
    <row r="490" spans="13:22" customFormat="1" x14ac:dyDescent="0.25">
      <c r="M490" t="s">
        <v>17</v>
      </c>
      <c r="N490" s="35">
        <f t="shared" si="75"/>
        <v>0.26052631578947366</v>
      </c>
      <c r="O490" s="35">
        <f t="shared" si="76"/>
        <v>0.29938271604938271</v>
      </c>
      <c r="P490" s="35">
        <f t="shared" si="77"/>
        <v>3.8856400259909052E-2</v>
      </c>
    </row>
    <row r="491" spans="13:22" customFormat="1" x14ac:dyDescent="0.25">
      <c r="M491" t="s">
        <v>18</v>
      </c>
      <c r="N491" s="35">
        <f t="shared" si="75"/>
        <v>0.46282894736842106</v>
      </c>
      <c r="O491" s="35">
        <f t="shared" si="76"/>
        <v>0.58024691358024683</v>
      </c>
      <c r="P491" s="35">
        <f t="shared" si="77"/>
        <v>0.11741796621182576</v>
      </c>
    </row>
    <row r="492" spans="13:22" customFormat="1" x14ac:dyDescent="0.25">
      <c r="M492" t="s">
        <v>19</v>
      </c>
      <c r="N492" s="35">
        <f t="shared" si="75"/>
        <v>0.77236842105263159</v>
      </c>
      <c r="O492" s="35">
        <f t="shared" si="76"/>
        <v>0.82716049382716039</v>
      </c>
      <c r="P492" s="35">
        <f t="shared" si="77"/>
        <v>5.4792072774528799E-2</v>
      </c>
    </row>
    <row r="493" spans="13:22" customFormat="1" x14ac:dyDescent="0.25">
      <c r="M493" t="s">
        <v>20</v>
      </c>
      <c r="N493" s="35">
        <f t="shared" si="75"/>
        <v>0.91324013157894735</v>
      </c>
      <c r="O493" s="35">
        <f t="shared" si="76"/>
        <v>0.93827160493827155</v>
      </c>
      <c r="P493" s="35">
        <f t="shared" si="77"/>
        <v>2.5031473359324208E-2</v>
      </c>
    </row>
    <row r="494" spans="13:22" customFormat="1" x14ac:dyDescent="0.25">
      <c r="M494" t="s">
        <v>21</v>
      </c>
      <c r="N494" s="35">
        <f t="shared" si="75"/>
        <v>0.97754934210526323</v>
      </c>
      <c r="O494" s="35">
        <f t="shared" si="76"/>
        <v>0.9907407407407407</v>
      </c>
      <c r="P494" s="35">
        <f t="shared" si="77"/>
        <v>1.3191398635477469E-2</v>
      </c>
    </row>
    <row r="495" spans="13:22" customFormat="1" x14ac:dyDescent="0.25">
      <c r="M495" t="s">
        <v>23</v>
      </c>
      <c r="N495" s="35">
        <f t="shared" si="75"/>
        <v>1</v>
      </c>
      <c r="O495" s="35">
        <f t="shared" si="76"/>
        <v>1</v>
      </c>
      <c r="P495" s="35">
        <f t="shared" si="77"/>
        <v>0</v>
      </c>
    </row>
    <row r="496" spans="13:22" customFormat="1" x14ac:dyDescent="0.25">
      <c r="M496" t="s">
        <v>15</v>
      </c>
      <c r="N496" s="35"/>
      <c r="O496" s="35"/>
      <c r="P496" s="35">
        <f>MAX(P488:P495)</f>
        <v>0.11741796621182576</v>
      </c>
    </row>
    <row r="497" spans="13:16" customFormat="1" x14ac:dyDescent="0.25">
      <c r="M497" t="s">
        <v>162</v>
      </c>
      <c r="N497" s="35"/>
      <c r="O497" s="35"/>
    </row>
    <row r="498" spans="13:16" customFormat="1" x14ac:dyDescent="0.25">
      <c r="M498" t="s">
        <v>24</v>
      </c>
      <c r="N498" s="35">
        <f t="shared" si="75"/>
        <v>3.2072368421052632E-3</v>
      </c>
      <c r="O498" s="35">
        <f t="shared" si="76"/>
        <v>0</v>
      </c>
      <c r="P498" s="35">
        <f>ABS(N498-O498)</f>
        <v>3.2072368421052632E-3</v>
      </c>
    </row>
    <row r="499" spans="13:16" customFormat="1" x14ac:dyDescent="0.25">
      <c r="M499" t="s">
        <v>25</v>
      </c>
      <c r="N499" s="35">
        <f t="shared" si="75"/>
        <v>1.2828947368421053E-2</v>
      </c>
      <c r="O499" s="35">
        <f t="shared" si="76"/>
        <v>3.0864197530864196E-3</v>
      </c>
      <c r="P499" s="35">
        <f t="shared" ref="P499:P512" si="78">ABS(N499-O499)</f>
        <v>9.742527615334633E-3</v>
      </c>
    </row>
    <row r="500" spans="13:16" customFormat="1" x14ac:dyDescent="0.25">
      <c r="M500" t="s">
        <v>26</v>
      </c>
      <c r="N500" s="35">
        <f t="shared" si="75"/>
        <v>2.2368421052631579E-2</v>
      </c>
      <c r="O500" s="35">
        <f t="shared" si="76"/>
        <v>6.1728395061728392E-3</v>
      </c>
      <c r="P500" s="35">
        <f t="shared" si="78"/>
        <v>1.619558154645874E-2</v>
      </c>
    </row>
    <row r="501" spans="13:16" customFormat="1" x14ac:dyDescent="0.25">
      <c r="M501" t="s">
        <v>27</v>
      </c>
      <c r="N501" s="35">
        <f t="shared" si="75"/>
        <v>6.0773026315789465E-2</v>
      </c>
      <c r="O501" s="35">
        <f t="shared" si="76"/>
        <v>3.0864197530864196E-2</v>
      </c>
      <c r="P501" s="35">
        <f t="shared" si="78"/>
        <v>2.9908828784925269E-2</v>
      </c>
    </row>
    <row r="502" spans="13:16" customFormat="1" x14ac:dyDescent="0.25">
      <c r="M502" t="s">
        <v>28</v>
      </c>
      <c r="N502" s="35">
        <f t="shared" si="75"/>
        <v>0.12738486842105262</v>
      </c>
      <c r="O502" s="35">
        <f t="shared" si="76"/>
        <v>0.1111111111111111</v>
      </c>
      <c r="P502" s="35">
        <f t="shared" si="78"/>
        <v>1.6273757309941517E-2</v>
      </c>
    </row>
    <row r="503" spans="13:16" customFormat="1" x14ac:dyDescent="0.25">
      <c r="M503" t="s">
        <v>29</v>
      </c>
      <c r="N503" s="35">
        <f t="shared" si="75"/>
        <v>0.24449013157894733</v>
      </c>
      <c r="O503" s="35">
        <f t="shared" si="76"/>
        <v>0.20987654320987659</v>
      </c>
      <c r="P503" s="35">
        <f t="shared" si="78"/>
        <v>3.4613588369070747E-2</v>
      </c>
    </row>
    <row r="504" spans="13:16" customFormat="1" x14ac:dyDescent="0.25">
      <c r="M504" t="s">
        <v>30</v>
      </c>
      <c r="N504" s="35">
        <f t="shared" si="75"/>
        <v>0.42623355263157892</v>
      </c>
      <c r="O504" s="35">
        <f t="shared" si="76"/>
        <v>0.43518518518518523</v>
      </c>
      <c r="P504" s="35">
        <f t="shared" si="78"/>
        <v>8.9516325536063146E-3</v>
      </c>
    </row>
    <row r="505" spans="13:16" customFormat="1" x14ac:dyDescent="0.25">
      <c r="M505" t="s">
        <v>31</v>
      </c>
      <c r="N505" s="35">
        <f t="shared" si="75"/>
        <v>0.77664473684210522</v>
      </c>
      <c r="O505" s="35">
        <f t="shared" si="76"/>
        <v>0.79320987654320996</v>
      </c>
      <c r="P505" s="35">
        <f t="shared" si="78"/>
        <v>1.6565139701104736E-2</v>
      </c>
    </row>
    <row r="506" spans="13:16" customFormat="1" x14ac:dyDescent="0.25">
      <c r="M506" t="s">
        <v>32</v>
      </c>
      <c r="N506" s="35">
        <f t="shared" si="75"/>
        <v>0.91324013157894735</v>
      </c>
      <c r="O506" s="35">
        <f t="shared" si="76"/>
        <v>0.89506172839506182</v>
      </c>
      <c r="P506" s="35">
        <f t="shared" si="78"/>
        <v>1.8178403183885528E-2</v>
      </c>
    </row>
    <row r="507" spans="13:16" customFormat="1" x14ac:dyDescent="0.25">
      <c r="M507" t="s">
        <v>33</v>
      </c>
      <c r="N507" s="35">
        <f t="shared" si="75"/>
        <v>0.97582236842105252</v>
      </c>
      <c r="O507" s="35">
        <f t="shared" si="76"/>
        <v>0.9506172839506174</v>
      </c>
      <c r="P507" s="35">
        <f t="shared" si="78"/>
        <v>2.5205084470435124E-2</v>
      </c>
    </row>
    <row r="508" spans="13:16" customFormat="1" x14ac:dyDescent="0.25">
      <c r="M508" t="s">
        <v>34</v>
      </c>
      <c r="N508" s="35">
        <f t="shared" si="75"/>
        <v>0.98536184210526301</v>
      </c>
      <c r="O508" s="35">
        <f t="shared" si="76"/>
        <v>0.98765432098765449</v>
      </c>
      <c r="P508" s="35">
        <f t="shared" si="78"/>
        <v>2.2924788823914799E-3</v>
      </c>
    </row>
    <row r="509" spans="13:16" customFormat="1" x14ac:dyDescent="0.25">
      <c r="M509" t="s">
        <v>35</v>
      </c>
      <c r="N509" s="35">
        <f t="shared" si="75"/>
        <v>0.99342105263157876</v>
      </c>
      <c r="O509" s="35">
        <f t="shared" si="76"/>
        <v>0.99691358024691379</v>
      </c>
      <c r="P509" s="35">
        <f t="shared" si="78"/>
        <v>3.4925276153350282E-3</v>
      </c>
    </row>
    <row r="510" spans="13:16" customFormat="1" x14ac:dyDescent="0.25">
      <c r="M510" t="s">
        <v>36</v>
      </c>
      <c r="N510" s="35">
        <f t="shared" si="75"/>
        <v>0.99342105263157876</v>
      </c>
      <c r="O510" s="35">
        <f t="shared" si="76"/>
        <v>1.0000000000000002</v>
      </c>
      <c r="P510" s="35">
        <f t="shared" si="78"/>
        <v>6.5789473684214617E-3</v>
      </c>
    </row>
    <row r="511" spans="13:16" customFormat="1" x14ac:dyDescent="0.25">
      <c r="M511" t="s">
        <v>37</v>
      </c>
      <c r="N511" s="35">
        <f t="shared" si="75"/>
        <v>0.99506578947368407</v>
      </c>
      <c r="O511" s="35">
        <f t="shared" si="76"/>
        <v>1.0000000000000002</v>
      </c>
      <c r="P511" s="35">
        <f t="shared" si="78"/>
        <v>4.9342105263161518E-3</v>
      </c>
    </row>
    <row r="512" spans="13:16" customFormat="1" x14ac:dyDescent="0.25">
      <c r="M512" t="s">
        <v>38</v>
      </c>
      <c r="N512" s="35">
        <f t="shared" si="75"/>
        <v>0.99999999999999978</v>
      </c>
      <c r="O512" s="35">
        <f t="shared" si="76"/>
        <v>1.0000000000000002</v>
      </c>
      <c r="P512" s="35">
        <f t="shared" si="78"/>
        <v>4.4408920985006262E-16</v>
      </c>
    </row>
    <row r="513" spans="13:16" customFormat="1" x14ac:dyDescent="0.25">
      <c r="M513" t="s">
        <v>15</v>
      </c>
      <c r="N513" s="35"/>
      <c r="O513" s="35"/>
      <c r="P513" s="35">
        <f>MAX(P498:P512)</f>
        <v>3.4613588369070747E-2</v>
      </c>
    </row>
    <row r="514" spans="13:16" customFormat="1" x14ac:dyDescent="0.25">
      <c r="M514" t="s">
        <v>163</v>
      </c>
      <c r="N514" s="35"/>
      <c r="O514" s="35"/>
    </row>
    <row r="515" spans="13:16" customFormat="1" x14ac:dyDescent="0.25">
      <c r="M515" t="s">
        <v>40</v>
      </c>
      <c r="N515" s="35">
        <f t="shared" si="75"/>
        <v>6.3322368421052629E-3</v>
      </c>
      <c r="O515" s="35">
        <f t="shared" si="76"/>
        <v>3.0864197530864196E-3</v>
      </c>
      <c r="P515" s="35">
        <f>ABS(N515-O515)</f>
        <v>3.2458170890188433E-3</v>
      </c>
    </row>
    <row r="516" spans="13:16" customFormat="1" x14ac:dyDescent="0.25">
      <c r="M516" t="s">
        <v>41</v>
      </c>
      <c r="N516" s="35">
        <f t="shared" si="75"/>
        <v>1.1019736842105263E-2</v>
      </c>
      <c r="O516" s="35">
        <f t="shared" si="76"/>
        <v>6.1728395061728392E-3</v>
      </c>
      <c r="P516" s="35">
        <f t="shared" ref="P516:P529" si="79">ABS(N516-O516)</f>
        <v>4.8468973359324236E-3</v>
      </c>
    </row>
    <row r="517" spans="13:16" customFormat="1" x14ac:dyDescent="0.25">
      <c r="M517" t="s">
        <v>42</v>
      </c>
      <c r="N517" s="35">
        <f t="shared" si="75"/>
        <v>3.0263157894736839E-2</v>
      </c>
      <c r="O517" s="35">
        <f t="shared" si="76"/>
        <v>2.1604938271604937E-2</v>
      </c>
      <c r="P517" s="35">
        <f t="shared" si="79"/>
        <v>8.658219623131902E-3</v>
      </c>
    </row>
    <row r="518" spans="13:16" customFormat="1" x14ac:dyDescent="0.25">
      <c r="M518" t="s">
        <v>43</v>
      </c>
      <c r="N518" s="35">
        <f t="shared" si="75"/>
        <v>5.411184210526316E-2</v>
      </c>
      <c r="O518" s="35">
        <f t="shared" si="76"/>
        <v>4.9382716049382713E-2</v>
      </c>
      <c r="P518" s="35">
        <f t="shared" si="79"/>
        <v>4.7291260558804463E-3</v>
      </c>
    </row>
    <row r="519" spans="13:16" customFormat="1" x14ac:dyDescent="0.25">
      <c r="M519" t="s">
        <v>44</v>
      </c>
      <c r="N519" s="35">
        <f t="shared" si="75"/>
        <v>0.11167763157894736</v>
      </c>
      <c r="O519" s="35">
        <f t="shared" si="76"/>
        <v>0.12654320987654322</v>
      </c>
      <c r="P519" s="35">
        <f t="shared" si="79"/>
        <v>1.4865578297595855E-2</v>
      </c>
    </row>
    <row r="520" spans="13:16" customFormat="1" x14ac:dyDescent="0.25">
      <c r="M520" t="s">
        <v>45</v>
      </c>
      <c r="N520" s="35">
        <f t="shared" si="75"/>
        <v>0.16595394736842106</v>
      </c>
      <c r="O520" s="35">
        <f t="shared" si="76"/>
        <v>0.2067901234567901</v>
      </c>
      <c r="P520" s="35">
        <f t="shared" si="79"/>
        <v>4.0836176088369036E-2</v>
      </c>
    </row>
    <row r="521" spans="13:16" customFormat="1" x14ac:dyDescent="0.25">
      <c r="M521" t="s">
        <v>46</v>
      </c>
      <c r="N521" s="35">
        <f t="shared" si="75"/>
        <v>0.32138157894736841</v>
      </c>
      <c r="O521" s="35">
        <f t="shared" si="76"/>
        <v>0.40123456790123452</v>
      </c>
      <c r="P521" s="35">
        <f t="shared" si="79"/>
        <v>7.9852988953866111E-2</v>
      </c>
    </row>
    <row r="522" spans="13:16" customFormat="1" x14ac:dyDescent="0.25">
      <c r="M522" t="s">
        <v>47</v>
      </c>
      <c r="N522" s="35">
        <f t="shared" si="75"/>
        <v>0.49078947368421055</v>
      </c>
      <c r="O522" s="35">
        <f t="shared" si="76"/>
        <v>0.62962962962962954</v>
      </c>
      <c r="P522" s="35">
        <f t="shared" si="79"/>
        <v>0.13884015594541899</v>
      </c>
    </row>
    <row r="523" spans="13:16" customFormat="1" x14ac:dyDescent="0.25">
      <c r="M523" t="s">
        <v>48</v>
      </c>
      <c r="N523" s="35">
        <f t="shared" si="75"/>
        <v>0.71833881578947367</v>
      </c>
      <c r="O523" s="35">
        <f t="shared" si="76"/>
        <v>0.81172839506172834</v>
      </c>
      <c r="P523" s="35">
        <f t="shared" si="79"/>
        <v>9.3389579272254664E-2</v>
      </c>
    </row>
    <row r="524" spans="13:16" customFormat="1" x14ac:dyDescent="0.25">
      <c r="M524" t="s">
        <v>49</v>
      </c>
      <c r="N524" s="35">
        <f t="shared" si="75"/>
        <v>0.8364309210526315</v>
      </c>
      <c r="O524" s="35">
        <f t="shared" si="76"/>
        <v>0.89506172839506171</v>
      </c>
      <c r="P524" s="35">
        <f t="shared" si="79"/>
        <v>5.8630807342430202E-2</v>
      </c>
    </row>
    <row r="525" spans="13:16" customFormat="1" x14ac:dyDescent="0.25">
      <c r="M525" t="s">
        <v>50</v>
      </c>
      <c r="N525" s="35">
        <f t="shared" si="75"/>
        <v>0.93610197368421044</v>
      </c>
      <c r="O525" s="35">
        <f t="shared" si="76"/>
        <v>0.94753086419753074</v>
      </c>
      <c r="P525" s="35">
        <f t="shared" si="79"/>
        <v>1.14288905133203E-2</v>
      </c>
    </row>
    <row r="526" spans="13:16" customFormat="1" x14ac:dyDescent="0.25">
      <c r="M526" t="s">
        <v>51</v>
      </c>
      <c r="N526" s="35">
        <f t="shared" si="75"/>
        <v>0.97639802631578942</v>
      </c>
      <c r="O526" s="35">
        <f t="shared" si="76"/>
        <v>0.9722222222222221</v>
      </c>
      <c r="P526" s="35">
        <f t="shared" si="79"/>
        <v>4.1758040935673257E-3</v>
      </c>
    </row>
    <row r="527" spans="13:16" customFormat="1" x14ac:dyDescent="0.25">
      <c r="M527" t="s">
        <v>52</v>
      </c>
      <c r="N527" s="35">
        <f t="shared" si="75"/>
        <v>0.9921875</v>
      </c>
      <c r="O527" s="35">
        <f t="shared" si="76"/>
        <v>0.99382716049382702</v>
      </c>
      <c r="P527" s="35">
        <f t="shared" si="79"/>
        <v>1.6396604938270221E-3</v>
      </c>
    </row>
    <row r="528" spans="13:16" customFormat="1" x14ac:dyDescent="0.25">
      <c r="M528" t="s">
        <v>53</v>
      </c>
      <c r="N528" s="35">
        <f t="shared" si="75"/>
        <v>0.99374999999999991</v>
      </c>
      <c r="O528" s="35">
        <f t="shared" si="76"/>
        <v>0.99691358024691346</v>
      </c>
      <c r="P528" s="35">
        <f t="shared" si="79"/>
        <v>3.1635802469135443E-3</v>
      </c>
    </row>
    <row r="529" spans="13:23" customFormat="1" x14ac:dyDescent="0.25">
      <c r="M529" t="s">
        <v>54</v>
      </c>
      <c r="N529" s="35">
        <f t="shared" si="75"/>
        <v>1</v>
      </c>
      <c r="O529" s="35">
        <f t="shared" si="76"/>
        <v>0.99999999999999989</v>
      </c>
      <c r="P529" s="35">
        <f t="shared" si="79"/>
        <v>1.1102230246251565E-16</v>
      </c>
    </row>
    <row r="530" spans="13:23" customFormat="1" x14ac:dyDescent="0.25">
      <c r="M530" t="s">
        <v>15</v>
      </c>
      <c r="P530" s="35">
        <f>MAX(P515:P529)</f>
        <v>0.13884015594541899</v>
      </c>
    </row>
    <row r="532" spans="13:23" customFormat="1" x14ac:dyDescent="0.25">
      <c r="M532" s="37" t="s">
        <v>223</v>
      </c>
      <c r="T532" t="s">
        <v>153</v>
      </c>
    </row>
    <row r="533" spans="13:23" customFormat="1" x14ac:dyDescent="0.25">
      <c r="M533" t="s">
        <v>160</v>
      </c>
      <c r="N533" t="s">
        <v>224</v>
      </c>
      <c r="O533" t="s">
        <v>225</v>
      </c>
      <c r="P533" t="s">
        <v>39</v>
      </c>
      <c r="T533" t="s">
        <v>145</v>
      </c>
      <c r="U533" t="s">
        <v>146</v>
      </c>
      <c r="V533" t="s">
        <v>150</v>
      </c>
    </row>
    <row r="534" spans="13:23" customFormat="1" x14ac:dyDescent="0.25">
      <c r="M534" t="s">
        <v>6</v>
      </c>
      <c r="N534" s="35">
        <f>(N30+N198+O142)/3</f>
        <v>1.3532190816547543E-2</v>
      </c>
      <c r="O534" s="35">
        <f>(N86+N142)/2</f>
        <v>6.5258751902587519E-3</v>
      </c>
      <c r="P534" s="35">
        <f t="shared" ref="P534:P541" si="80">ABS(N534-O534)</f>
        <v>7.0063156262887907E-3</v>
      </c>
      <c r="T534">
        <v>0.1</v>
      </c>
      <c r="U534">
        <v>1.22</v>
      </c>
      <c r="V534">
        <f>SQRT((T539+T540)/(T539*T540))</f>
        <v>0.10175646715493712</v>
      </c>
      <c r="W534">
        <f>PRODUCT(V534, U534)</f>
        <v>0.12414288992902328</v>
      </c>
    </row>
    <row r="535" spans="13:23" customFormat="1" x14ac:dyDescent="0.25">
      <c r="M535" t="s">
        <v>7</v>
      </c>
      <c r="N535" s="35">
        <f t="shared" ref="N535:N585" si="81">(N31+N199+O143)/3</f>
        <v>5.3277409891831974E-2</v>
      </c>
      <c r="O535" s="35">
        <f t="shared" ref="O535:O585" si="82">(N87+N143)/2</f>
        <v>6.6609589041095887E-2</v>
      </c>
      <c r="P535" s="35">
        <f t="shared" si="80"/>
        <v>1.3332179149263913E-2</v>
      </c>
      <c r="T535">
        <v>0.05</v>
      </c>
      <c r="U535">
        <v>1.36</v>
      </c>
      <c r="W535">
        <f>V534*U535</f>
        <v>0.13838879533071449</v>
      </c>
    </row>
    <row r="536" spans="13:23" customFormat="1" x14ac:dyDescent="0.25">
      <c r="M536" t="s">
        <v>8</v>
      </c>
      <c r="N536" s="35">
        <f t="shared" si="81"/>
        <v>0.29271780918345242</v>
      </c>
      <c r="O536" s="35">
        <f t="shared" si="82"/>
        <v>0.27309741248097408</v>
      </c>
      <c r="P536" s="35">
        <f t="shared" si="80"/>
        <v>1.9620396702478338E-2</v>
      </c>
      <c r="T536">
        <v>0.01</v>
      </c>
      <c r="U536">
        <v>1.63</v>
      </c>
      <c r="W536">
        <f>V534*U536</f>
        <v>0.16586304146254749</v>
      </c>
    </row>
    <row r="537" spans="13:23" customFormat="1" x14ac:dyDescent="0.25">
      <c r="M537" t="s">
        <v>9</v>
      </c>
      <c r="N537" s="35">
        <f t="shared" si="81"/>
        <v>0.67986787957548189</v>
      </c>
      <c r="O537" s="35">
        <f t="shared" si="82"/>
        <v>0.63405631659056305</v>
      </c>
      <c r="P537" s="35">
        <f t="shared" si="80"/>
        <v>4.5811562984918841E-2</v>
      </c>
      <c r="R537" t="s">
        <v>293</v>
      </c>
      <c r="V537" s="35">
        <f>MAX(P542, P552, P569)</f>
        <v>7.9136208576997991E-2</v>
      </c>
    </row>
    <row r="538" spans="13:23" customFormat="1" x14ac:dyDescent="0.25">
      <c r="M538" t="s">
        <v>10</v>
      </c>
      <c r="N538" s="35">
        <f t="shared" si="81"/>
        <v>0.86802509746588685</v>
      </c>
      <c r="O538" s="35">
        <f t="shared" si="82"/>
        <v>0.78888888888888886</v>
      </c>
      <c r="P538" s="35">
        <f t="shared" si="80"/>
        <v>7.9136208576997991E-2</v>
      </c>
      <c r="T538" t="s">
        <v>147</v>
      </c>
    </row>
    <row r="539" spans="13:23" customFormat="1" x14ac:dyDescent="0.25">
      <c r="M539" t="s">
        <v>11</v>
      </c>
      <c r="N539" s="35">
        <f t="shared" si="81"/>
        <v>0.9568429174788825</v>
      </c>
      <c r="O539" s="35">
        <f t="shared" si="82"/>
        <v>0.93755707762557072</v>
      </c>
      <c r="P539" s="35">
        <f t="shared" si="80"/>
        <v>1.9285839853311781E-2</v>
      </c>
      <c r="S539" t="s">
        <v>226</v>
      </c>
      <c r="T539">
        <v>237</v>
      </c>
    </row>
    <row r="540" spans="13:23" customFormat="1" x14ac:dyDescent="0.25">
      <c r="M540" t="s">
        <v>12</v>
      </c>
      <c r="N540" s="35">
        <f t="shared" si="81"/>
        <v>0.98206898418886723</v>
      </c>
      <c r="O540" s="35">
        <f t="shared" si="82"/>
        <v>0.96792237442922369</v>
      </c>
      <c r="P540" s="35">
        <f t="shared" si="80"/>
        <v>1.4146609759643547E-2</v>
      </c>
      <c r="S540" t="s">
        <v>227</v>
      </c>
      <c r="T540">
        <v>163</v>
      </c>
    </row>
    <row r="541" spans="13:23" customFormat="1" x14ac:dyDescent="0.25">
      <c r="M541" t="s">
        <v>22</v>
      </c>
      <c r="N541" s="35">
        <f t="shared" si="81"/>
        <v>1</v>
      </c>
      <c r="O541" s="35">
        <f t="shared" si="82"/>
        <v>1</v>
      </c>
      <c r="P541" s="35">
        <f t="shared" si="80"/>
        <v>0</v>
      </c>
    </row>
    <row r="542" spans="13:23" customFormat="1" x14ac:dyDescent="0.25">
      <c r="M542" t="s">
        <v>15</v>
      </c>
      <c r="N542" s="35"/>
      <c r="O542" s="35"/>
      <c r="P542" s="35">
        <f>MAX(P534:P541)</f>
        <v>7.9136208576997991E-2</v>
      </c>
    </row>
    <row r="543" spans="13:23" customFormat="1" x14ac:dyDescent="0.25">
      <c r="M543" t="s">
        <v>161</v>
      </c>
      <c r="N543" s="35"/>
      <c r="O543" s="35"/>
    </row>
    <row r="544" spans="13:23" customFormat="1" x14ac:dyDescent="0.25">
      <c r="M544" t="s">
        <v>93</v>
      </c>
      <c r="N544" s="35">
        <f t="shared" si="81"/>
        <v>5.3954136885423436E-2</v>
      </c>
      <c r="O544" s="35">
        <f t="shared" si="82"/>
        <v>7.7530441400304406E-2</v>
      </c>
      <c r="P544" s="35">
        <f>ABS(N544-O544)</f>
        <v>2.3576304514880971E-2</v>
      </c>
    </row>
    <row r="545" spans="13:16" customFormat="1" x14ac:dyDescent="0.25">
      <c r="M545" t="s">
        <v>16</v>
      </c>
      <c r="N545" s="35">
        <f t="shared" si="81"/>
        <v>0.11501651505306476</v>
      </c>
      <c r="O545" s="35">
        <f t="shared" si="82"/>
        <v>0.12437214611872147</v>
      </c>
      <c r="P545" s="35">
        <f t="shared" ref="P545:P551" si="83">ABS(N545-O545)</f>
        <v>9.3556310656567054E-3</v>
      </c>
    </row>
    <row r="546" spans="13:16" customFormat="1" x14ac:dyDescent="0.25">
      <c r="M546" t="s">
        <v>17</v>
      </c>
      <c r="N546" s="35">
        <f t="shared" si="81"/>
        <v>0.27347844920944336</v>
      </c>
      <c r="O546" s="35">
        <f t="shared" si="82"/>
        <v>0.34969558599695588</v>
      </c>
      <c r="P546" s="35">
        <f t="shared" si="83"/>
        <v>7.6217136787512518E-2</v>
      </c>
    </row>
    <row r="547" spans="13:16" customFormat="1" x14ac:dyDescent="0.25">
      <c r="M547" t="s">
        <v>18</v>
      </c>
      <c r="N547" s="35">
        <f t="shared" si="81"/>
        <v>0.50196826943902961</v>
      </c>
      <c r="O547" s="35">
        <f t="shared" si="82"/>
        <v>0.5371194824961949</v>
      </c>
      <c r="P547" s="35">
        <f t="shared" si="83"/>
        <v>3.5151213057165287E-2</v>
      </c>
    </row>
    <row r="548" spans="13:16" customFormat="1" x14ac:dyDescent="0.25">
      <c r="M548" t="s">
        <v>19</v>
      </c>
      <c r="N548" s="35">
        <f t="shared" si="81"/>
        <v>0.7906324453108079</v>
      </c>
      <c r="O548" s="35">
        <f t="shared" si="82"/>
        <v>0.81137747336377475</v>
      </c>
      <c r="P548" s="35">
        <f t="shared" si="83"/>
        <v>2.0745028052966852E-2</v>
      </c>
    </row>
    <row r="549" spans="13:16" customFormat="1" x14ac:dyDescent="0.25">
      <c r="M549" t="s">
        <v>20</v>
      </c>
      <c r="N549" s="35">
        <f t="shared" si="81"/>
        <v>0.92158395603205534</v>
      </c>
      <c r="O549" s="35">
        <f t="shared" si="82"/>
        <v>0.92024353120243529</v>
      </c>
      <c r="P549" s="35">
        <f t="shared" si="83"/>
        <v>1.3404248296200461E-3</v>
      </c>
    </row>
    <row r="550" spans="13:16" customFormat="1" x14ac:dyDescent="0.25">
      <c r="M550" t="s">
        <v>21</v>
      </c>
      <c r="N550" s="35">
        <f t="shared" si="81"/>
        <v>0.98194647498375576</v>
      </c>
      <c r="O550" s="35">
        <f t="shared" si="82"/>
        <v>0.98310502283105028</v>
      </c>
      <c r="P550" s="35">
        <f t="shared" si="83"/>
        <v>1.1585478472945221E-3</v>
      </c>
    </row>
    <row r="551" spans="13:16" customFormat="1" x14ac:dyDescent="0.25">
      <c r="M551" t="s">
        <v>23</v>
      </c>
      <c r="N551" s="35">
        <f t="shared" si="81"/>
        <v>1</v>
      </c>
      <c r="O551" s="35">
        <f t="shared" si="82"/>
        <v>1</v>
      </c>
      <c r="P551" s="35">
        <f t="shared" si="83"/>
        <v>0</v>
      </c>
    </row>
    <row r="552" spans="13:16" customFormat="1" x14ac:dyDescent="0.25">
      <c r="M552" t="s">
        <v>15</v>
      </c>
      <c r="N552" s="35"/>
      <c r="O552" s="35"/>
      <c r="P552" s="35">
        <f>MAX(P544:P551)</f>
        <v>7.6217136787512518E-2</v>
      </c>
    </row>
    <row r="553" spans="13:16" customFormat="1" x14ac:dyDescent="0.25">
      <c r="M553" t="s">
        <v>162</v>
      </c>
      <c r="N553" s="35"/>
      <c r="O553" s="35"/>
    </row>
    <row r="554" spans="13:16" customFormat="1" x14ac:dyDescent="0.25">
      <c r="M554" t="s">
        <v>24</v>
      </c>
      <c r="N554" s="35">
        <f t="shared" si="81"/>
        <v>2.1381578947368422E-3</v>
      </c>
      <c r="O554" s="35">
        <f t="shared" si="82"/>
        <v>0</v>
      </c>
      <c r="P554" s="35">
        <f>ABS(N554-O554)</f>
        <v>2.1381578947368422E-3</v>
      </c>
    </row>
    <row r="555" spans="13:16" customFormat="1" x14ac:dyDescent="0.25">
      <c r="M555" t="s">
        <v>25</v>
      </c>
      <c r="N555" s="35">
        <f t="shared" si="81"/>
        <v>9.5814381633095077E-3</v>
      </c>
      <c r="O555" s="35">
        <f t="shared" si="82"/>
        <v>7.914764079147641E-3</v>
      </c>
      <c r="P555" s="35">
        <f t="shared" ref="P555:P568" si="84">ABS(N555-O555)</f>
        <v>1.6666740841618666E-3</v>
      </c>
    </row>
    <row r="556" spans="13:16" customFormat="1" x14ac:dyDescent="0.25">
      <c r="M556" t="s">
        <v>26</v>
      </c>
      <c r="N556" s="35">
        <f t="shared" si="81"/>
        <v>1.6969893870478665E-2</v>
      </c>
      <c r="O556" s="35">
        <f t="shared" si="82"/>
        <v>3.4436834094368339E-2</v>
      </c>
      <c r="P556" s="35">
        <f t="shared" si="84"/>
        <v>1.7466940223889674E-2</v>
      </c>
    </row>
    <row r="557" spans="13:16" customFormat="1" x14ac:dyDescent="0.25">
      <c r="M557" t="s">
        <v>27</v>
      </c>
      <c r="N557" s="35">
        <f t="shared" si="81"/>
        <v>5.0803416720814377E-2</v>
      </c>
      <c r="O557" s="35">
        <f t="shared" si="82"/>
        <v>5.7857686453576862E-2</v>
      </c>
      <c r="P557" s="35">
        <f t="shared" si="84"/>
        <v>7.0542697327624845E-3</v>
      </c>
    </row>
    <row r="558" spans="13:16" customFormat="1" x14ac:dyDescent="0.25">
      <c r="M558" t="s">
        <v>28</v>
      </c>
      <c r="N558" s="35">
        <f t="shared" si="81"/>
        <v>0.12196028265107212</v>
      </c>
      <c r="O558" s="35">
        <f t="shared" si="82"/>
        <v>0.12524733637747335</v>
      </c>
      <c r="P558" s="35">
        <f t="shared" si="84"/>
        <v>3.2870537264012289E-3</v>
      </c>
    </row>
    <row r="559" spans="13:16" customFormat="1" x14ac:dyDescent="0.25">
      <c r="M559" t="s">
        <v>29</v>
      </c>
      <c r="N559" s="35">
        <f t="shared" si="81"/>
        <v>0.23295226878925709</v>
      </c>
      <c r="O559" s="35">
        <f t="shared" si="82"/>
        <v>0.24170471841704716</v>
      </c>
      <c r="P559" s="35">
        <f t="shared" si="84"/>
        <v>8.7524496277900654E-3</v>
      </c>
    </row>
    <row r="560" spans="13:16" customFormat="1" x14ac:dyDescent="0.25">
      <c r="M560" t="s">
        <v>30</v>
      </c>
      <c r="N560" s="35">
        <f t="shared" si="81"/>
        <v>0.42921743014944774</v>
      </c>
      <c r="O560" s="35">
        <f t="shared" si="82"/>
        <v>0.46120624048706238</v>
      </c>
      <c r="P560" s="35">
        <f t="shared" si="84"/>
        <v>3.1988810337614637E-2</v>
      </c>
    </row>
    <row r="561" spans="13:16" customFormat="1" x14ac:dyDescent="0.25">
      <c r="M561" t="s">
        <v>31</v>
      </c>
      <c r="N561" s="35">
        <f t="shared" si="81"/>
        <v>0.78216645007580687</v>
      </c>
      <c r="O561" s="35">
        <f t="shared" si="82"/>
        <v>0.77606544901065444</v>
      </c>
      <c r="P561" s="35">
        <f t="shared" si="84"/>
        <v>6.1010010651524338E-3</v>
      </c>
    </row>
    <row r="562" spans="13:16" customFormat="1" x14ac:dyDescent="0.25">
      <c r="M562" t="s">
        <v>32</v>
      </c>
      <c r="N562" s="35">
        <f t="shared" si="81"/>
        <v>0.9071806638509855</v>
      </c>
      <c r="O562" s="35">
        <f t="shared" si="82"/>
        <v>0.88854642313546428</v>
      </c>
      <c r="P562" s="35">
        <f t="shared" si="84"/>
        <v>1.8634240715521222E-2</v>
      </c>
    </row>
    <row r="563" spans="13:16" customFormat="1" x14ac:dyDescent="0.25">
      <c r="M563" t="s">
        <v>33</v>
      </c>
      <c r="N563" s="35">
        <f t="shared" si="81"/>
        <v>0.96742067359757422</v>
      </c>
      <c r="O563" s="35">
        <f t="shared" si="82"/>
        <v>0.93742389649923896</v>
      </c>
      <c r="P563" s="35">
        <f t="shared" si="84"/>
        <v>2.9996777098335259E-2</v>
      </c>
    </row>
    <row r="564" spans="13:16" customFormat="1" x14ac:dyDescent="0.25">
      <c r="M564" t="s">
        <v>34</v>
      </c>
      <c r="N564" s="35">
        <f t="shared" si="81"/>
        <v>0.9861260017327268</v>
      </c>
      <c r="O564" s="35">
        <f t="shared" si="82"/>
        <v>0.97283105022831062</v>
      </c>
      <c r="P564" s="35">
        <f t="shared" si="84"/>
        <v>1.3294951504416175E-2</v>
      </c>
    </row>
    <row r="565" spans="13:16" customFormat="1" x14ac:dyDescent="0.25">
      <c r="M565" t="s">
        <v>35</v>
      </c>
      <c r="N565" s="35">
        <f t="shared" si="81"/>
        <v>0.99458522850335707</v>
      </c>
      <c r="O565" s="35">
        <f t="shared" si="82"/>
        <v>0.98898401826484028</v>
      </c>
      <c r="P565" s="35">
        <f t="shared" si="84"/>
        <v>5.601210238516785E-3</v>
      </c>
    </row>
    <row r="566" spans="13:16" customFormat="1" x14ac:dyDescent="0.25">
      <c r="M566" t="s">
        <v>36</v>
      </c>
      <c r="N566" s="35">
        <f t="shared" si="81"/>
        <v>0.99561403508771917</v>
      </c>
      <c r="O566" s="35">
        <f t="shared" si="82"/>
        <v>0.99069634703196363</v>
      </c>
      <c r="P566" s="35">
        <f t="shared" si="84"/>
        <v>4.9176880557555425E-3</v>
      </c>
    </row>
    <row r="567" spans="13:16" customFormat="1" x14ac:dyDescent="0.25">
      <c r="M567" t="s">
        <v>37</v>
      </c>
      <c r="N567" s="35">
        <f t="shared" si="81"/>
        <v>0.99671052631578938</v>
      </c>
      <c r="O567" s="35">
        <f t="shared" si="82"/>
        <v>0.99518645357686464</v>
      </c>
      <c r="P567" s="35">
        <f t="shared" si="84"/>
        <v>1.5240727389247422E-3</v>
      </c>
    </row>
    <row r="568" spans="13:16" customFormat="1" x14ac:dyDescent="0.25">
      <c r="M568" t="s">
        <v>38</v>
      </c>
      <c r="N568" s="35">
        <f t="shared" si="81"/>
        <v>1</v>
      </c>
      <c r="O568" s="35">
        <f t="shared" si="82"/>
        <v>1</v>
      </c>
      <c r="P568" s="35">
        <f t="shared" si="84"/>
        <v>0</v>
      </c>
    </row>
    <row r="569" spans="13:16" customFormat="1" x14ac:dyDescent="0.25">
      <c r="M569" t="s">
        <v>15</v>
      </c>
      <c r="N569" s="35"/>
      <c r="O569" s="35"/>
      <c r="P569" s="35">
        <f>MAX(P554:P568)</f>
        <v>3.1988810337614637E-2</v>
      </c>
    </row>
    <row r="570" spans="13:16" customFormat="1" x14ac:dyDescent="0.25">
      <c r="M570" t="s">
        <v>163</v>
      </c>
      <c r="N570" s="35"/>
      <c r="O570" s="35"/>
    </row>
    <row r="571" spans="13:16" customFormat="1" x14ac:dyDescent="0.25">
      <c r="M571" t="s">
        <v>40</v>
      </c>
      <c r="N571" s="35">
        <f t="shared" si="81"/>
        <v>5.2502978124323143E-3</v>
      </c>
      <c r="O571" s="35">
        <f t="shared" si="82"/>
        <v>1.7960426179604264E-2</v>
      </c>
      <c r="P571" s="35">
        <f>ABS(N571-O571)</f>
        <v>1.271012836717195E-2</v>
      </c>
    </row>
    <row r="572" spans="13:16" customFormat="1" x14ac:dyDescent="0.25">
      <c r="M572" t="s">
        <v>41</v>
      </c>
      <c r="N572" s="35">
        <f t="shared" si="81"/>
        <v>9.4041043967944549E-3</v>
      </c>
      <c r="O572" s="35">
        <f t="shared" si="82"/>
        <v>2.3839421613394217E-2</v>
      </c>
      <c r="P572" s="35">
        <f t="shared" ref="P572:P585" si="85">ABS(N572-O572)</f>
        <v>1.4435317216599762E-2</v>
      </c>
    </row>
    <row r="573" spans="13:16" customFormat="1" x14ac:dyDescent="0.25">
      <c r="M573" t="s">
        <v>42</v>
      </c>
      <c r="N573" s="35">
        <f t="shared" si="81"/>
        <v>2.7377084687026206E-2</v>
      </c>
      <c r="O573" s="35">
        <f t="shared" si="82"/>
        <v>3.7633181126331808E-2</v>
      </c>
      <c r="P573" s="35">
        <f t="shared" si="85"/>
        <v>1.0256096439305602E-2</v>
      </c>
    </row>
    <row r="574" spans="13:16" customFormat="1" x14ac:dyDescent="0.25">
      <c r="M574" t="s">
        <v>43</v>
      </c>
      <c r="N574" s="35">
        <f t="shared" si="81"/>
        <v>5.2535466753303006E-2</v>
      </c>
      <c r="O574" s="35">
        <f t="shared" si="82"/>
        <v>5.7210806697108069E-2</v>
      </c>
      <c r="P574" s="35">
        <f t="shared" si="85"/>
        <v>4.6753399438050625E-3</v>
      </c>
    </row>
    <row r="575" spans="13:16" customFormat="1" x14ac:dyDescent="0.25">
      <c r="M575" t="s">
        <v>44</v>
      </c>
      <c r="N575" s="35">
        <f t="shared" si="81"/>
        <v>0.11663282434481265</v>
      </c>
      <c r="O575" s="35">
        <f t="shared" si="82"/>
        <v>0.13848934550989345</v>
      </c>
      <c r="P575" s="35">
        <f t="shared" si="85"/>
        <v>2.18565211650808E-2</v>
      </c>
    </row>
    <row r="576" spans="13:16" customFormat="1" x14ac:dyDescent="0.25">
      <c r="M576" t="s">
        <v>45</v>
      </c>
      <c r="N576" s="35">
        <f t="shared" si="81"/>
        <v>0.17956600606454409</v>
      </c>
      <c r="O576" s="35">
        <f t="shared" si="82"/>
        <v>0.25920852359208524</v>
      </c>
      <c r="P576" s="35">
        <f t="shared" si="85"/>
        <v>7.9642517527541146E-2</v>
      </c>
    </row>
    <row r="577" spans="13:23" customFormat="1" x14ac:dyDescent="0.25">
      <c r="M577" t="s">
        <v>46</v>
      </c>
      <c r="N577" s="35">
        <f t="shared" si="81"/>
        <v>0.34799924193199044</v>
      </c>
      <c r="O577" s="35">
        <f t="shared" si="82"/>
        <v>0.40603120243531204</v>
      </c>
      <c r="P577" s="35">
        <f t="shared" si="85"/>
        <v>5.80319605033216E-2</v>
      </c>
    </row>
    <row r="578" spans="13:23" customFormat="1" x14ac:dyDescent="0.25">
      <c r="M578" t="s">
        <v>47</v>
      </c>
      <c r="N578" s="35">
        <f t="shared" si="81"/>
        <v>0.53706952566601684</v>
      </c>
      <c r="O578" s="35">
        <f t="shared" si="82"/>
        <v>0.60492770167427701</v>
      </c>
      <c r="P578" s="35">
        <f t="shared" si="85"/>
        <v>6.7858176008260163E-2</v>
      </c>
    </row>
    <row r="579" spans="13:23" customFormat="1" x14ac:dyDescent="0.25">
      <c r="M579" t="s">
        <v>48</v>
      </c>
      <c r="N579" s="35">
        <f t="shared" si="81"/>
        <v>0.74946867554689189</v>
      </c>
      <c r="O579" s="35">
        <f t="shared" si="82"/>
        <v>0.78808980213089808</v>
      </c>
      <c r="P579" s="35">
        <f t="shared" si="85"/>
        <v>3.8621126584006182E-2</v>
      </c>
    </row>
    <row r="580" spans="13:23" customFormat="1" x14ac:dyDescent="0.25">
      <c r="M580" t="s">
        <v>49</v>
      </c>
      <c r="N580" s="35">
        <f t="shared" si="81"/>
        <v>0.85597452350010828</v>
      </c>
      <c r="O580" s="35">
        <f t="shared" si="82"/>
        <v>0.87876712328767126</v>
      </c>
      <c r="P580" s="35">
        <f t="shared" si="85"/>
        <v>2.2792599787562984E-2</v>
      </c>
    </row>
    <row r="581" spans="13:23" customFormat="1" x14ac:dyDescent="0.25">
      <c r="M581" t="s">
        <v>50</v>
      </c>
      <c r="N581" s="35">
        <f t="shared" si="81"/>
        <v>0.93991160385531725</v>
      </c>
      <c r="O581" s="35">
        <f t="shared" si="82"/>
        <v>0.94815449010654507</v>
      </c>
      <c r="P581" s="35">
        <f t="shared" si="85"/>
        <v>8.2428862512278211E-3</v>
      </c>
    </row>
    <row r="582" spans="13:23" customFormat="1" x14ac:dyDescent="0.25">
      <c r="M582" t="s">
        <v>51</v>
      </c>
      <c r="N582" s="35">
        <f t="shared" si="81"/>
        <v>0.97500609161793361</v>
      </c>
      <c r="O582" s="35">
        <f t="shared" si="82"/>
        <v>0.97574200913242026</v>
      </c>
      <c r="P582" s="35">
        <f t="shared" si="85"/>
        <v>7.3591751448665033E-4</v>
      </c>
    </row>
    <row r="583" spans="13:23" customFormat="1" x14ac:dyDescent="0.25">
      <c r="M583" t="s">
        <v>52</v>
      </c>
      <c r="N583" s="35">
        <f t="shared" si="81"/>
        <v>0.99273405349794241</v>
      </c>
      <c r="O583" s="35">
        <f t="shared" si="82"/>
        <v>0.99412100456621022</v>
      </c>
      <c r="P583" s="35">
        <f t="shared" si="85"/>
        <v>1.3869510682678055E-3</v>
      </c>
    </row>
    <row r="584" spans="13:23" customFormat="1" x14ac:dyDescent="0.25">
      <c r="M584" t="s">
        <v>53</v>
      </c>
      <c r="N584" s="35">
        <f t="shared" si="81"/>
        <v>0.99480452674897102</v>
      </c>
      <c r="O584" s="35">
        <f t="shared" si="82"/>
        <v>0.99861111111111134</v>
      </c>
      <c r="P584" s="35">
        <f t="shared" si="85"/>
        <v>3.8065843621403195E-3</v>
      </c>
    </row>
    <row r="585" spans="13:23" customFormat="1" x14ac:dyDescent="0.25">
      <c r="M585" t="s">
        <v>54</v>
      </c>
      <c r="N585" s="35">
        <f t="shared" si="81"/>
        <v>1</v>
      </c>
      <c r="O585" s="35">
        <f t="shared" si="82"/>
        <v>1.0000000000000002</v>
      </c>
      <c r="P585" s="35">
        <f t="shared" si="85"/>
        <v>2.2204460492503131E-16</v>
      </c>
    </row>
    <row r="586" spans="13:23" customFormat="1" x14ac:dyDescent="0.25">
      <c r="M586" t="s">
        <v>15</v>
      </c>
      <c r="P586" s="35">
        <f>MAX(P571:P585)</f>
        <v>7.9642517527541146E-2</v>
      </c>
    </row>
    <row r="588" spans="13:23" customFormat="1" x14ac:dyDescent="0.25">
      <c r="M588" s="37" t="s">
        <v>228</v>
      </c>
      <c r="T588" t="s">
        <v>153</v>
      </c>
    </row>
    <row r="589" spans="13:23" customFormat="1" x14ac:dyDescent="0.25">
      <c r="M589" t="s">
        <v>160</v>
      </c>
      <c r="N589" t="s">
        <v>229</v>
      </c>
      <c r="O589" t="s">
        <v>230</v>
      </c>
      <c r="P589" t="s">
        <v>39</v>
      </c>
      <c r="T589" t="s">
        <v>145</v>
      </c>
      <c r="U589" t="s">
        <v>146</v>
      </c>
      <c r="V589" t="s">
        <v>150</v>
      </c>
    </row>
    <row r="590" spans="13:23" customFormat="1" x14ac:dyDescent="0.25">
      <c r="M590" t="s">
        <v>6</v>
      </c>
      <c r="N590" s="35">
        <f>(N30+N198+O422)/3</f>
        <v>9.3140838206627694E-3</v>
      </c>
      <c r="O590" s="35">
        <f>(O142+O310)/2</f>
        <v>1.2853035684085912E-2</v>
      </c>
      <c r="P590" s="35">
        <f t="shared" ref="P590:P597" si="86">ABS(N590-O590)</f>
        <v>3.5389518634231423E-3</v>
      </c>
      <c r="T590">
        <v>0.1</v>
      </c>
      <c r="U590">
        <v>1.22</v>
      </c>
      <c r="V590">
        <f>SQRT((T595+T596)/(T595*T596))</f>
        <v>0.10275479134285173</v>
      </c>
      <c r="W590">
        <f>PRODUCT(V590, U590)</f>
        <v>0.12536084543827911</v>
      </c>
    </row>
    <row r="591" spans="13:23" customFormat="1" x14ac:dyDescent="0.25">
      <c r="M591" t="s">
        <v>7</v>
      </c>
      <c r="N591" s="35">
        <f t="shared" ref="N591:N641" si="87">(N31+N199+O423)/3</f>
        <v>5.6672471620227038E-2</v>
      </c>
      <c r="O591" s="35">
        <f t="shared" ref="O591:O641" si="88">(O143+O311)/2</f>
        <v>6.1516996448503294E-2</v>
      </c>
      <c r="P591" s="35">
        <f t="shared" si="86"/>
        <v>4.844524828276256E-3</v>
      </c>
      <c r="T591">
        <v>0.05</v>
      </c>
      <c r="U591">
        <v>1.36</v>
      </c>
      <c r="W591">
        <f>V590*U591</f>
        <v>0.13974651622627837</v>
      </c>
    </row>
    <row r="592" spans="13:23" customFormat="1" x14ac:dyDescent="0.25">
      <c r="M592" t="s">
        <v>8</v>
      </c>
      <c r="N592" s="35">
        <f t="shared" si="87"/>
        <v>0.30526924951267054</v>
      </c>
      <c r="O592" s="35">
        <f t="shared" si="88"/>
        <v>0.25427025198714692</v>
      </c>
      <c r="P592" s="35">
        <f t="shared" si="86"/>
        <v>5.0998997525523615E-2</v>
      </c>
      <c r="T592">
        <v>0.01</v>
      </c>
      <c r="U592">
        <v>1.63</v>
      </c>
      <c r="W592">
        <f>V590*U592</f>
        <v>0.1674903098888483</v>
      </c>
    </row>
    <row r="593" spans="13:22" customFormat="1" x14ac:dyDescent="0.25">
      <c r="M593" t="s">
        <v>9</v>
      </c>
      <c r="N593" s="35">
        <f t="shared" si="87"/>
        <v>0.70126705653021437</v>
      </c>
      <c r="O593" s="35">
        <f t="shared" si="88"/>
        <v>0.60195755115846439</v>
      </c>
      <c r="P593" s="35">
        <f t="shared" si="86"/>
        <v>9.9309505371749984E-2</v>
      </c>
      <c r="R593" t="s">
        <v>293</v>
      </c>
      <c r="V593" s="35">
        <f>MAX(P598, P608, P625)</f>
        <v>9.9309505371749984E-2</v>
      </c>
    </row>
    <row r="594" spans="13:22" customFormat="1" x14ac:dyDescent="0.25">
      <c r="M594" t="s">
        <v>10</v>
      </c>
      <c r="N594" s="35">
        <f t="shared" si="87"/>
        <v>0.87543250487329427</v>
      </c>
      <c r="O594" s="35">
        <f t="shared" si="88"/>
        <v>0.77777777777777779</v>
      </c>
      <c r="P594" s="35">
        <f t="shared" si="86"/>
        <v>9.765472709551648E-2</v>
      </c>
      <c r="T594" t="s">
        <v>147</v>
      </c>
    </row>
    <row r="595" spans="13:22" customFormat="1" x14ac:dyDescent="0.25">
      <c r="M595" t="s">
        <v>11</v>
      </c>
      <c r="N595" s="35">
        <f t="shared" si="87"/>
        <v>0.94696637426900576</v>
      </c>
      <c r="O595" s="35">
        <f t="shared" si="88"/>
        <v>0.95237189244038567</v>
      </c>
      <c r="P595" s="35">
        <f t="shared" si="86"/>
        <v>5.4055181713799083E-3</v>
      </c>
      <c r="S595" t="s">
        <v>231</v>
      </c>
      <c r="T595">
        <v>246</v>
      </c>
    </row>
    <row r="596" spans="13:22" customFormat="1" x14ac:dyDescent="0.25">
      <c r="M596" t="s">
        <v>12</v>
      </c>
      <c r="N596" s="35">
        <f t="shared" si="87"/>
        <v>0.9750730994152047</v>
      </c>
      <c r="O596" s="35">
        <f t="shared" si="88"/>
        <v>0.97841620158971754</v>
      </c>
      <c r="P596" s="35">
        <f t="shared" si="86"/>
        <v>3.3431021745128353E-3</v>
      </c>
      <c r="S596" t="s">
        <v>232</v>
      </c>
      <c r="T596">
        <v>154</v>
      </c>
    </row>
    <row r="597" spans="13:22" customFormat="1" x14ac:dyDescent="0.25">
      <c r="M597" t="s">
        <v>22</v>
      </c>
      <c r="N597" s="35">
        <f t="shared" si="87"/>
        <v>1</v>
      </c>
      <c r="O597" s="35">
        <f t="shared" si="88"/>
        <v>1</v>
      </c>
      <c r="P597" s="35">
        <f t="shared" si="86"/>
        <v>0</v>
      </c>
    </row>
    <row r="598" spans="13:22" customFormat="1" x14ac:dyDescent="0.25">
      <c r="M598" t="s">
        <v>15</v>
      </c>
      <c r="N598" s="35"/>
      <c r="O598" s="35"/>
      <c r="P598" s="35">
        <f>MAX(P590:P597)</f>
        <v>9.9309505371749984E-2</v>
      </c>
    </row>
    <row r="599" spans="13:22" customFormat="1" x14ac:dyDescent="0.25">
      <c r="M599" t="s">
        <v>161</v>
      </c>
      <c r="N599" s="35"/>
      <c r="O599" s="35"/>
    </row>
    <row r="600" spans="13:22" customFormat="1" x14ac:dyDescent="0.25">
      <c r="M600" t="s">
        <v>93</v>
      </c>
      <c r="N600" s="35">
        <f t="shared" si="87"/>
        <v>6.8871832358674459E-2</v>
      </c>
      <c r="O600" s="35">
        <f t="shared" si="88"/>
        <v>5.5153898190427868E-2</v>
      </c>
      <c r="P600" s="35">
        <f>ABS(N600-O600)</f>
        <v>1.3717934168246591E-2</v>
      </c>
    </row>
    <row r="601" spans="13:22" customFormat="1" x14ac:dyDescent="0.25">
      <c r="M601" t="s">
        <v>16</v>
      </c>
      <c r="N601" s="35">
        <f t="shared" si="87"/>
        <v>0.12437865497076023</v>
      </c>
      <c r="O601" s="35">
        <f t="shared" si="88"/>
        <v>0.11032893624217825</v>
      </c>
      <c r="P601" s="35">
        <f t="shared" ref="P601:P607" si="89">ABS(N601-O601)</f>
        <v>1.4049718728581975E-2</v>
      </c>
    </row>
    <row r="602" spans="13:22" customFormat="1" x14ac:dyDescent="0.25">
      <c r="M602" t="s">
        <v>17</v>
      </c>
      <c r="N602" s="35">
        <f t="shared" si="87"/>
        <v>0.27553606237816763</v>
      </c>
      <c r="O602" s="35">
        <f t="shared" si="88"/>
        <v>0.34660916624386945</v>
      </c>
      <c r="P602" s="35">
        <f t="shared" si="89"/>
        <v>7.1073103865701814E-2</v>
      </c>
    </row>
    <row r="603" spans="13:22" customFormat="1" x14ac:dyDescent="0.25">
      <c r="M603" t="s">
        <v>18</v>
      </c>
      <c r="N603" s="35">
        <f t="shared" si="87"/>
        <v>0.48170077972709552</v>
      </c>
      <c r="O603" s="35">
        <f t="shared" si="88"/>
        <v>0.56752071706409601</v>
      </c>
      <c r="P603" s="35">
        <f t="shared" si="89"/>
        <v>8.5819937337000496E-2</v>
      </c>
    </row>
    <row r="604" spans="13:22" customFormat="1" x14ac:dyDescent="0.25">
      <c r="M604" t="s">
        <v>19</v>
      </c>
      <c r="N604" s="35">
        <f t="shared" si="87"/>
        <v>0.78528265107212469</v>
      </c>
      <c r="O604" s="35">
        <f t="shared" si="88"/>
        <v>0.81940216472179939</v>
      </c>
      <c r="P604" s="35">
        <f t="shared" si="89"/>
        <v>3.4119513649674693E-2</v>
      </c>
    </row>
    <row r="605" spans="13:22" customFormat="1" x14ac:dyDescent="0.25">
      <c r="M605" t="s">
        <v>20</v>
      </c>
      <c r="N605" s="35">
        <f t="shared" si="87"/>
        <v>0.91067860623781671</v>
      </c>
      <c r="O605" s="35">
        <f t="shared" si="88"/>
        <v>0.93660155589379335</v>
      </c>
      <c r="P605" s="35">
        <f t="shared" si="89"/>
        <v>2.5922949655976635E-2</v>
      </c>
    </row>
    <row r="606" spans="13:22" customFormat="1" x14ac:dyDescent="0.25">
      <c r="M606" t="s">
        <v>21</v>
      </c>
      <c r="N606" s="35">
        <f t="shared" si="87"/>
        <v>0.97947733918128665</v>
      </c>
      <c r="O606" s="35">
        <f t="shared" si="88"/>
        <v>0.98680872653475393</v>
      </c>
      <c r="P606" s="35">
        <f t="shared" si="89"/>
        <v>7.331387353467278E-3</v>
      </c>
    </row>
    <row r="607" spans="13:22" customFormat="1" x14ac:dyDescent="0.25">
      <c r="M607" t="s">
        <v>23</v>
      </c>
      <c r="N607" s="35">
        <f t="shared" si="87"/>
        <v>1</v>
      </c>
      <c r="O607" s="35">
        <f t="shared" si="88"/>
        <v>1</v>
      </c>
      <c r="P607" s="35">
        <f t="shared" si="89"/>
        <v>0</v>
      </c>
    </row>
    <row r="608" spans="13:22" customFormat="1" x14ac:dyDescent="0.25">
      <c r="M608" t="s">
        <v>15</v>
      </c>
      <c r="N608" s="35"/>
      <c r="O608" s="35"/>
      <c r="P608" s="35">
        <f>MAX(P600:P607)</f>
        <v>8.5819937337000496E-2</v>
      </c>
    </row>
    <row r="609" spans="13:16" customFormat="1" x14ac:dyDescent="0.25">
      <c r="M609" t="s">
        <v>162</v>
      </c>
      <c r="N609" s="35"/>
      <c r="O609" s="35"/>
    </row>
    <row r="610" spans="13:16" customFormat="1" x14ac:dyDescent="0.25">
      <c r="M610" t="s">
        <v>24</v>
      </c>
      <c r="N610" s="35">
        <f t="shared" si="87"/>
        <v>2.1381578947368422E-3</v>
      </c>
      <c r="O610" s="35">
        <f t="shared" si="88"/>
        <v>0</v>
      </c>
      <c r="P610" s="35">
        <f>ABS(N610-O610)</f>
        <v>2.1381578947368422E-3</v>
      </c>
    </row>
    <row r="611" spans="13:16" customFormat="1" x14ac:dyDescent="0.25">
      <c r="M611" t="s">
        <v>25</v>
      </c>
      <c r="N611" s="35">
        <f t="shared" si="87"/>
        <v>1.040448343079922E-2</v>
      </c>
      <c r="O611" s="35">
        <f t="shared" si="88"/>
        <v>6.6801961779130725E-3</v>
      </c>
      <c r="P611" s="35">
        <f t="shared" ref="P611:P624" si="90">ABS(N611-O611)</f>
        <v>3.7242872528861475E-3</v>
      </c>
    </row>
    <row r="612" spans="13:16" customFormat="1" x14ac:dyDescent="0.25">
      <c r="M612" t="s">
        <v>26</v>
      </c>
      <c r="N612" s="35">
        <f t="shared" si="87"/>
        <v>2.4171539961013646E-2</v>
      </c>
      <c r="O612" s="35">
        <f t="shared" si="88"/>
        <v>2.363436495856587E-2</v>
      </c>
      <c r="P612" s="35">
        <f t="shared" si="90"/>
        <v>5.3717500244777547E-4</v>
      </c>
    </row>
    <row r="613" spans="13:16" customFormat="1" x14ac:dyDescent="0.25">
      <c r="M613" t="s">
        <v>27</v>
      </c>
      <c r="N613" s="35">
        <f t="shared" si="87"/>
        <v>5.6256091617933712E-2</v>
      </c>
      <c r="O613" s="35">
        <f t="shared" si="88"/>
        <v>4.9678674107897849E-2</v>
      </c>
      <c r="P613" s="35">
        <f t="shared" si="90"/>
        <v>6.5774175100358628E-3</v>
      </c>
    </row>
    <row r="614" spans="13:16" customFormat="1" x14ac:dyDescent="0.25">
      <c r="M614" t="s">
        <v>28</v>
      </c>
      <c r="N614" s="35">
        <f t="shared" si="87"/>
        <v>0.11362694931773877</v>
      </c>
      <c r="O614" s="35">
        <f t="shared" si="88"/>
        <v>0.13774733637747336</v>
      </c>
      <c r="P614" s="35">
        <f t="shared" si="90"/>
        <v>2.4120387059734585E-2</v>
      </c>
    </row>
    <row r="615" spans="13:16" customFormat="1" x14ac:dyDescent="0.25">
      <c r="M615" t="s">
        <v>29</v>
      </c>
      <c r="N615" s="35">
        <f t="shared" si="87"/>
        <v>0.22595638401559451</v>
      </c>
      <c r="O615" s="35">
        <f t="shared" si="88"/>
        <v>0.25219854557754107</v>
      </c>
      <c r="P615" s="35">
        <f t="shared" si="90"/>
        <v>2.6242161561946559E-2</v>
      </c>
    </row>
    <row r="616" spans="13:16" customFormat="1" x14ac:dyDescent="0.25">
      <c r="M616" t="s">
        <v>30</v>
      </c>
      <c r="N616" s="35">
        <f t="shared" si="87"/>
        <v>0.4295260721247563</v>
      </c>
      <c r="O616" s="35">
        <f t="shared" si="88"/>
        <v>0.46074327752409949</v>
      </c>
      <c r="P616" s="35">
        <f t="shared" si="90"/>
        <v>3.1217205399343195E-2</v>
      </c>
    </row>
    <row r="617" spans="13:16" customFormat="1" x14ac:dyDescent="0.25">
      <c r="M617" t="s">
        <v>31</v>
      </c>
      <c r="N617" s="35">
        <f t="shared" si="87"/>
        <v>0.7862816764132553</v>
      </c>
      <c r="O617" s="35">
        <f t="shared" si="88"/>
        <v>0.7698926095044818</v>
      </c>
      <c r="P617" s="35">
        <f t="shared" si="90"/>
        <v>1.6389066908773509E-2</v>
      </c>
    </row>
    <row r="618" spans="13:16" customFormat="1" x14ac:dyDescent="0.25">
      <c r="M618" t="s">
        <v>32</v>
      </c>
      <c r="N618" s="35">
        <f t="shared" si="87"/>
        <v>0.91808601364522413</v>
      </c>
      <c r="O618" s="35">
        <f t="shared" si="88"/>
        <v>0.87218839844410634</v>
      </c>
      <c r="P618" s="35">
        <f t="shared" si="90"/>
        <v>4.5897615201117792E-2</v>
      </c>
    </row>
    <row r="619" spans="13:16" customFormat="1" x14ac:dyDescent="0.25">
      <c r="M619" t="s">
        <v>33</v>
      </c>
      <c r="N619" s="35">
        <f t="shared" si="87"/>
        <v>0.97184454191033132</v>
      </c>
      <c r="O619" s="35">
        <f t="shared" si="88"/>
        <v>0.93078809403010332</v>
      </c>
      <c r="P619" s="35">
        <f t="shared" si="90"/>
        <v>4.1056447880227998E-2</v>
      </c>
    </row>
    <row r="620" spans="13:16" customFormat="1" x14ac:dyDescent="0.25">
      <c r="M620" t="s">
        <v>34</v>
      </c>
      <c r="N620" s="35">
        <f t="shared" si="87"/>
        <v>0.9846856725146198</v>
      </c>
      <c r="O620" s="35">
        <f t="shared" si="88"/>
        <v>0.97499154405547128</v>
      </c>
      <c r="P620" s="35">
        <f t="shared" si="90"/>
        <v>9.6941284591485211E-3</v>
      </c>
    </row>
    <row r="621" spans="13:16" customFormat="1" x14ac:dyDescent="0.25">
      <c r="M621" t="s">
        <v>35</v>
      </c>
      <c r="N621" s="35">
        <f t="shared" si="87"/>
        <v>0.99283625730994129</v>
      </c>
      <c r="O621" s="35">
        <f t="shared" si="88"/>
        <v>0.99160747505496394</v>
      </c>
      <c r="P621" s="35">
        <f t="shared" si="90"/>
        <v>1.2287822549773564E-3</v>
      </c>
    </row>
    <row r="622" spans="13:16" customFormat="1" x14ac:dyDescent="0.25">
      <c r="M622" t="s">
        <v>36</v>
      </c>
      <c r="N622" s="35">
        <f t="shared" si="87"/>
        <v>0.99283625730994129</v>
      </c>
      <c r="O622" s="35">
        <f t="shared" si="88"/>
        <v>0.99486301369863051</v>
      </c>
      <c r="P622" s="35">
        <f t="shared" si="90"/>
        <v>2.0267563886892104E-3</v>
      </c>
    </row>
    <row r="623" spans="13:16" customFormat="1" x14ac:dyDescent="0.25">
      <c r="M623" t="s">
        <v>37</v>
      </c>
      <c r="N623" s="35">
        <f t="shared" si="87"/>
        <v>0.99578460038986327</v>
      </c>
      <c r="O623" s="35">
        <f t="shared" si="88"/>
        <v>0.99657534246575374</v>
      </c>
      <c r="P623" s="35">
        <f t="shared" si="90"/>
        <v>7.9074207589047152E-4</v>
      </c>
    </row>
    <row r="624" spans="13:16" customFormat="1" x14ac:dyDescent="0.25">
      <c r="M624" t="s">
        <v>38</v>
      </c>
      <c r="N624" s="35">
        <f t="shared" si="87"/>
        <v>0.99999999999999967</v>
      </c>
      <c r="O624" s="35">
        <f t="shared" si="88"/>
        <v>1.0000000000000004</v>
      </c>
      <c r="P624" s="35">
        <f t="shared" si="90"/>
        <v>7.7715611723760958E-16</v>
      </c>
    </row>
    <row r="625" spans="13:16" customFormat="1" x14ac:dyDescent="0.25">
      <c r="M625" t="s">
        <v>15</v>
      </c>
      <c r="N625" s="35"/>
      <c r="O625" s="35"/>
      <c r="P625" s="35">
        <f>MAX(P610:P624)</f>
        <v>4.5897615201117792E-2</v>
      </c>
    </row>
    <row r="626" spans="13:16" customFormat="1" x14ac:dyDescent="0.25">
      <c r="M626" t="s">
        <v>163</v>
      </c>
      <c r="N626" s="35"/>
      <c r="O626" s="35"/>
    </row>
    <row r="627" spans="13:16" customFormat="1" x14ac:dyDescent="0.25">
      <c r="M627" t="s">
        <v>40</v>
      </c>
      <c r="N627" s="35">
        <f t="shared" si="87"/>
        <v>1.1628898635477584E-2</v>
      </c>
      <c r="O627" s="35">
        <f t="shared" si="88"/>
        <v>8.3925249450363601E-3</v>
      </c>
      <c r="P627" s="35">
        <f>ABS(N627-O627)</f>
        <v>3.236373690441224E-3</v>
      </c>
    </row>
    <row r="628" spans="13:16" customFormat="1" x14ac:dyDescent="0.25">
      <c r="M628" t="s">
        <v>41</v>
      </c>
      <c r="N628" s="35">
        <f t="shared" si="87"/>
        <v>1.753167641325536E-2</v>
      </c>
      <c r="O628" s="35">
        <f t="shared" si="88"/>
        <v>1.1648063588702857E-2</v>
      </c>
      <c r="P628" s="35">
        <f t="shared" ref="P628:P641" si="91">ABS(N628-O628)</f>
        <v>5.8836128245525025E-3</v>
      </c>
    </row>
    <row r="629" spans="13:16" customFormat="1" x14ac:dyDescent="0.25">
      <c r="M629" t="s">
        <v>42</v>
      </c>
      <c r="N629" s="35">
        <f t="shared" si="87"/>
        <v>3.4990253411306044E-2</v>
      </c>
      <c r="O629" s="35">
        <f t="shared" si="88"/>
        <v>2.6213428039912057E-2</v>
      </c>
      <c r="P629" s="35">
        <f t="shared" si="91"/>
        <v>8.776825371393987E-3</v>
      </c>
    </row>
    <row r="630" spans="13:16" customFormat="1" x14ac:dyDescent="0.25">
      <c r="M630" t="s">
        <v>43</v>
      </c>
      <c r="N630" s="35">
        <f t="shared" si="87"/>
        <v>5.3667153996101363E-2</v>
      </c>
      <c r="O630" s="35">
        <f t="shared" si="88"/>
        <v>5.5513275832910533E-2</v>
      </c>
      <c r="P630" s="35">
        <f t="shared" si="91"/>
        <v>1.8461218368091697E-3</v>
      </c>
    </row>
    <row r="631" spans="13:16" customFormat="1" x14ac:dyDescent="0.25">
      <c r="M631" t="s">
        <v>44</v>
      </c>
      <c r="N631" s="35">
        <f t="shared" si="87"/>
        <v>0.11426656920077971</v>
      </c>
      <c r="O631" s="35">
        <f t="shared" si="88"/>
        <v>0.14203872822594285</v>
      </c>
      <c r="P631" s="35">
        <f t="shared" si="91"/>
        <v>2.777215902516314E-2</v>
      </c>
    </row>
    <row r="632" spans="13:16" customFormat="1" x14ac:dyDescent="0.25">
      <c r="M632" t="s">
        <v>45</v>
      </c>
      <c r="N632" s="35">
        <f t="shared" si="87"/>
        <v>0.19211744639376219</v>
      </c>
      <c r="O632" s="35">
        <f t="shared" si="88"/>
        <v>0.24038136309825808</v>
      </c>
      <c r="P632" s="35">
        <f t="shared" si="91"/>
        <v>4.8263916704495896E-2</v>
      </c>
    </row>
    <row r="633" spans="13:16" customFormat="1" x14ac:dyDescent="0.25">
      <c r="M633" t="s">
        <v>46</v>
      </c>
      <c r="N633" s="35">
        <f t="shared" si="87"/>
        <v>0.34110623781676414</v>
      </c>
      <c r="O633" s="35">
        <f t="shared" si="88"/>
        <v>0.41637070860815151</v>
      </c>
      <c r="P633" s="35">
        <f t="shared" si="91"/>
        <v>7.5264470791387372E-2</v>
      </c>
    </row>
    <row r="634" spans="13:16" customFormat="1" x14ac:dyDescent="0.25">
      <c r="M634" t="s">
        <v>47</v>
      </c>
      <c r="N634" s="35">
        <f t="shared" si="87"/>
        <v>0.51700779727095514</v>
      </c>
      <c r="O634" s="35">
        <f t="shared" si="88"/>
        <v>0.63502029426686957</v>
      </c>
      <c r="P634" s="35">
        <f t="shared" si="91"/>
        <v>0.11801249699591443</v>
      </c>
    </row>
    <row r="635" spans="13:16" customFormat="1" x14ac:dyDescent="0.25">
      <c r="M635" t="s">
        <v>48</v>
      </c>
      <c r="N635" s="35">
        <f t="shared" si="87"/>
        <v>0.73259624756335284</v>
      </c>
      <c r="O635" s="35">
        <f t="shared" si="88"/>
        <v>0.81339844410620676</v>
      </c>
      <c r="P635" s="35">
        <f t="shared" si="91"/>
        <v>8.0802196542853921E-2</v>
      </c>
    </row>
    <row r="636" spans="13:16" customFormat="1" x14ac:dyDescent="0.25">
      <c r="M636" t="s">
        <v>49</v>
      </c>
      <c r="N636" s="35">
        <f t="shared" si="87"/>
        <v>0.840953947368421</v>
      </c>
      <c r="O636" s="35">
        <f t="shared" si="88"/>
        <v>0.90129798748520218</v>
      </c>
      <c r="P636" s="35">
        <f t="shared" si="91"/>
        <v>6.0344040116781184E-2</v>
      </c>
    </row>
    <row r="637" spans="13:16" customFormat="1" x14ac:dyDescent="0.25">
      <c r="M637" t="s">
        <v>50</v>
      </c>
      <c r="N637" s="35">
        <f t="shared" si="87"/>
        <v>0.93425316764132538</v>
      </c>
      <c r="O637" s="35">
        <f t="shared" si="88"/>
        <v>0.95664214442753259</v>
      </c>
      <c r="P637" s="35">
        <f t="shared" si="91"/>
        <v>2.2388976786207215E-2</v>
      </c>
    </row>
    <row r="638" spans="13:16" customFormat="1" x14ac:dyDescent="0.25">
      <c r="M638" t="s">
        <v>51</v>
      </c>
      <c r="N638" s="35">
        <f t="shared" si="87"/>
        <v>0.97037646198830407</v>
      </c>
      <c r="O638" s="35">
        <f t="shared" si="88"/>
        <v>0.98268645357686468</v>
      </c>
      <c r="P638" s="35">
        <f t="shared" si="91"/>
        <v>1.2309991588560609E-2</v>
      </c>
    </row>
    <row r="639" spans="13:16" customFormat="1" x14ac:dyDescent="0.25">
      <c r="M639" t="s">
        <v>52</v>
      </c>
      <c r="N639" s="35">
        <f t="shared" si="87"/>
        <v>0.99201388888888886</v>
      </c>
      <c r="O639" s="35">
        <f t="shared" si="88"/>
        <v>0.99520125147979044</v>
      </c>
      <c r="P639" s="35">
        <f t="shared" si="91"/>
        <v>3.1873625909015768E-3</v>
      </c>
    </row>
    <row r="640" spans="13:16" customFormat="1" x14ac:dyDescent="0.25">
      <c r="M640" t="s">
        <v>53</v>
      </c>
      <c r="N640" s="35">
        <f t="shared" si="87"/>
        <v>0.99490740740740735</v>
      </c>
      <c r="O640" s="35">
        <f t="shared" si="88"/>
        <v>0.99845679012345689</v>
      </c>
      <c r="P640" s="35">
        <f t="shared" si="91"/>
        <v>3.5493827160495428E-3</v>
      </c>
    </row>
    <row r="641" spans="13:23" customFormat="1" x14ac:dyDescent="0.25">
      <c r="M641" t="s">
        <v>54</v>
      </c>
      <c r="N641" s="35">
        <f t="shared" si="87"/>
        <v>1</v>
      </c>
      <c r="O641" s="35">
        <f t="shared" si="88"/>
        <v>1.0000000000000002</v>
      </c>
      <c r="P641" s="35">
        <f t="shared" si="91"/>
        <v>2.2204460492503131E-16</v>
      </c>
    </row>
    <row r="642" spans="13:23" customFormat="1" x14ac:dyDescent="0.25">
      <c r="M642" t="s">
        <v>15</v>
      </c>
      <c r="P642" s="35">
        <f>MAX(P627:P641)</f>
        <v>0.11801249699591443</v>
      </c>
    </row>
    <row r="644" spans="13:23" customFormat="1" x14ac:dyDescent="0.25">
      <c r="M644" s="37" t="s">
        <v>234</v>
      </c>
      <c r="T644" t="s">
        <v>153</v>
      </c>
    </row>
    <row r="645" spans="13:23" customFormat="1" x14ac:dyDescent="0.25">
      <c r="M645" t="s">
        <v>160</v>
      </c>
      <c r="N645" t="s">
        <v>233</v>
      </c>
      <c r="O645" t="s">
        <v>14</v>
      </c>
      <c r="P645" t="s">
        <v>39</v>
      </c>
      <c r="T645" t="s">
        <v>145</v>
      </c>
      <c r="U645" t="s">
        <v>146</v>
      </c>
      <c r="V645" t="s">
        <v>150</v>
      </c>
    </row>
    <row r="646" spans="13:23" customFormat="1" x14ac:dyDescent="0.25">
      <c r="M646" t="s">
        <v>6</v>
      </c>
      <c r="N646" s="35">
        <f>+(N30+N198+O422+O30)/4</f>
        <v>1.0843587556855102E-2</v>
      </c>
      <c r="O646" s="35">
        <f>N142</f>
        <v>1.0273972602739725E-2</v>
      </c>
      <c r="P646" s="35">
        <f t="shared" ref="P646:P653" si="92">ABS(N646-O646)</f>
        <v>5.6961495411537652E-4</v>
      </c>
      <c r="T646">
        <v>0.1</v>
      </c>
      <c r="U646">
        <v>1.22</v>
      </c>
      <c r="V646">
        <f>SQRT((T651+T652)/(T651*T652))</f>
        <v>0.13328042162070469</v>
      </c>
      <c r="W646">
        <f>PRODUCT(V646, U646)</f>
        <v>0.16260211437725972</v>
      </c>
    </row>
    <row r="647" spans="13:23" customFormat="1" x14ac:dyDescent="0.25">
      <c r="M647" t="s">
        <v>7</v>
      </c>
      <c r="N647" s="35">
        <f t="shared" ref="N647:N697" si="93">+(N31+N199+O423+O31)/4</f>
        <v>5.8708057418873985E-2</v>
      </c>
      <c r="O647" s="35">
        <f t="shared" ref="O647:O697" si="94">N143</f>
        <v>5.8219178082191778E-2</v>
      </c>
      <c r="P647" s="35">
        <f t="shared" si="92"/>
        <v>4.8887933668220751E-4</v>
      </c>
      <c r="T647">
        <v>0.05</v>
      </c>
      <c r="U647">
        <v>1.36</v>
      </c>
      <c r="W647">
        <f>V646*U647</f>
        <v>0.1812613734041584</v>
      </c>
    </row>
    <row r="648" spans="13:23" customFormat="1" x14ac:dyDescent="0.25">
      <c r="M648" t="s">
        <v>8</v>
      </c>
      <c r="N648" s="35">
        <f t="shared" si="93"/>
        <v>0.28759391244314486</v>
      </c>
      <c r="O648" s="35">
        <f t="shared" si="94"/>
        <v>0.27397260273972601</v>
      </c>
      <c r="P648" s="35">
        <f t="shared" si="92"/>
        <v>1.3621309703418849E-2</v>
      </c>
      <c r="T648">
        <v>0.01</v>
      </c>
      <c r="U648">
        <v>1.63</v>
      </c>
      <c r="W648">
        <f>V646*U648</f>
        <v>0.21724708724174863</v>
      </c>
    </row>
    <row r="649" spans="13:23" customFormat="1" x14ac:dyDescent="0.25">
      <c r="M649" t="s">
        <v>9</v>
      </c>
      <c r="N649" s="35">
        <f t="shared" si="93"/>
        <v>0.67795646523716702</v>
      </c>
      <c r="O649" s="35">
        <f t="shared" si="94"/>
        <v>0.59589041095890405</v>
      </c>
      <c r="P649" s="35">
        <f t="shared" si="92"/>
        <v>8.2066054278262968E-2</v>
      </c>
      <c r="R649" t="s">
        <v>293</v>
      </c>
      <c r="V649" s="35">
        <f>MAX(P654, P664, P68)</f>
        <v>0.11233789064238475</v>
      </c>
    </row>
    <row r="650" spans="13:23" customFormat="1" x14ac:dyDescent="0.25">
      <c r="M650" t="s">
        <v>10</v>
      </c>
      <c r="N650" s="35">
        <f t="shared" si="93"/>
        <v>0.85796326754385954</v>
      </c>
      <c r="O650" s="35">
        <f t="shared" si="94"/>
        <v>0.75</v>
      </c>
      <c r="P650" s="35">
        <f t="shared" si="92"/>
        <v>0.10796326754385954</v>
      </c>
      <c r="T650" t="s">
        <v>147</v>
      </c>
    </row>
    <row r="651" spans="13:23" customFormat="1" x14ac:dyDescent="0.25">
      <c r="M651" t="s">
        <v>11</v>
      </c>
      <c r="N651" s="35">
        <f t="shared" si="93"/>
        <v>0.95096552144249502</v>
      </c>
      <c r="O651" s="35">
        <f t="shared" si="94"/>
        <v>0.94178082191780821</v>
      </c>
      <c r="P651" s="35">
        <f t="shared" si="92"/>
        <v>9.1846995246868124E-3</v>
      </c>
      <c r="S651" t="s">
        <v>235</v>
      </c>
      <c r="T651">
        <f>76+80+90</f>
        <v>246</v>
      </c>
    </row>
    <row r="652" spans="13:23" customFormat="1" x14ac:dyDescent="0.25">
      <c r="M652" t="s">
        <v>12</v>
      </c>
      <c r="N652" s="35">
        <f t="shared" si="93"/>
        <v>0.97821840480831712</v>
      </c>
      <c r="O652" s="35">
        <f t="shared" si="94"/>
        <v>0.96917808219178081</v>
      </c>
      <c r="P652" s="35">
        <f t="shared" si="92"/>
        <v>9.0403226165363115E-3</v>
      </c>
      <c r="S652" t="s">
        <v>149</v>
      </c>
      <c r="T652">
        <v>73</v>
      </c>
    </row>
    <row r="653" spans="13:23" customFormat="1" x14ac:dyDescent="0.25">
      <c r="M653" t="s">
        <v>22</v>
      </c>
      <c r="N653" s="35">
        <f t="shared" si="93"/>
        <v>1</v>
      </c>
      <c r="O653" s="35">
        <f t="shared" si="94"/>
        <v>1</v>
      </c>
      <c r="P653" s="35">
        <f t="shared" si="92"/>
        <v>0</v>
      </c>
    </row>
    <row r="654" spans="13:23" customFormat="1" x14ac:dyDescent="0.25">
      <c r="M654" t="s">
        <v>15</v>
      </c>
      <c r="N654" s="35"/>
      <c r="O654" s="35"/>
      <c r="P654" s="35">
        <f>MAX(P646:P653)</f>
        <v>0.10796326754385954</v>
      </c>
    </row>
    <row r="655" spans="13:23" customFormat="1" x14ac:dyDescent="0.25">
      <c r="M655" t="s">
        <v>161</v>
      </c>
      <c r="N655" s="35"/>
      <c r="O655" s="35"/>
    </row>
    <row r="656" spans="13:23" customFormat="1" x14ac:dyDescent="0.25">
      <c r="M656" t="s">
        <v>93</v>
      </c>
      <c r="N656" s="35">
        <f t="shared" si="93"/>
        <v>5.7826713775178687E-2</v>
      </c>
      <c r="O656" s="35">
        <f t="shared" si="94"/>
        <v>8.5616438356164379E-2</v>
      </c>
      <c r="P656" s="35">
        <f>ABS(N656-O656)</f>
        <v>2.7789724580985692E-2</v>
      </c>
    </row>
    <row r="657" spans="13:16" customFormat="1" x14ac:dyDescent="0.25">
      <c r="M657" t="s">
        <v>16</v>
      </c>
      <c r="N657" s="35">
        <f t="shared" si="93"/>
        <v>0.11334571962313189</v>
      </c>
      <c r="O657" s="35">
        <f t="shared" si="94"/>
        <v>0.1404109589041096</v>
      </c>
      <c r="P657" s="35">
        <f t="shared" ref="P657:P663" si="95">ABS(N657-O657)</f>
        <v>2.7065239280977704E-2</v>
      </c>
    </row>
    <row r="658" spans="13:16" customFormat="1" x14ac:dyDescent="0.25">
      <c r="M658" t="s">
        <v>17</v>
      </c>
      <c r="N658" s="35">
        <f t="shared" si="93"/>
        <v>0.28149772579597143</v>
      </c>
      <c r="O658" s="35">
        <f t="shared" si="94"/>
        <v>0.39383561643835618</v>
      </c>
      <c r="P658" s="35">
        <f t="shared" si="95"/>
        <v>0.11233789064238475</v>
      </c>
    </row>
    <row r="659" spans="13:16" customFormat="1" x14ac:dyDescent="0.25">
      <c r="M659" t="s">
        <v>18</v>
      </c>
      <c r="N659" s="35">
        <f t="shared" si="93"/>
        <v>0.50633731319038333</v>
      </c>
      <c r="O659" s="35">
        <f t="shared" si="94"/>
        <v>0.5547945205479452</v>
      </c>
      <c r="P659" s="35">
        <f t="shared" si="95"/>
        <v>4.8457207357561871E-2</v>
      </c>
    </row>
    <row r="660" spans="13:16" customFormat="1" x14ac:dyDescent="0.25">
      <c r="M660" t="s">
        <v>19</v>
      </c>
      <c r="N660" s="35">
        <f t="shared" si="93"/>
        <v>0.79575211176088367</v>
      </c>
      <c r="O660" s="35">
        <f t="shared" si="94"/>
        <v>0.81164383561643838</v>
      </c>
      <c r="P660" s="35">
        <f t="shared" si="95"/>
        <v>1.5891723855554707E-2</v>
      </c>
    </row>
    <row r="661" spans="13:16" customFormat="1" x14ac:dyDescent="0.25">
      <c r="M661" t="s">
        <v>20</v>
      </c>
      <c r="N661" s="35">
        <f t="shared" si="93"/>
        <v>0.91757685591293048</v>
      </c>
      <c r="O661" s="35">
        <f t="shared" si="94"/>
        <v>0.93493150684931514</v>
      </c>
      <c r="P661" s="35">
        <f t="shared" si="95"/>
        <v>1.7354650936384663E-2</v>
      </c>
    </row>
    <row r="662" spans="13:16" customFormat="1" x14ac:dyDescent="0.25">
      <c r="M662" t="s">
        <v>21</v>
      </c>
      <c r="N662" s="35">
        <f t="shared" si="93"/>
        <v>0.98229318957115019</v>
      </c>
      <c r="O662" s="35">
        <f t="shared" si="94"/>
        <v>0.98287671232876717</v>
      </c>
      <c r="P662" s="35">
        <f t="shared" si="95"/>
        <v>5.8352275761697214E-4</v>
      </c>
    </row>
    <row r="663" spans="13:16" customFormat="1" x14ac:dyDescent="0.25">
      <c r="M663" t="s">
        <v>23</v>
      </c>
      <c r="N663" s="35">
        <f t="shared" si="93"/>
        <v>1</v>
      </c>
      <c r="O663" s="35">
        <f t="shared" si="94"/>
        <v>1</v>
      </c>
      <c r="P663" s="35">
        <f t="shared" si="95"/>
        <v>0</v>
      </c>
    </row>
    <row r="664" spans="13:16" customFormat="1" x14ac:dyDescent="0.25">
      <c r="M664" t="s">
        <v>15</v>
      </c>
      <c r="N664" s="35"/>
      <c r="O664" s="35"/>
      <c r="P664" s="35">
        <f>MAX(P656:P663)</f>
        <v>0.11233789064238475</v>
      </c>
    </row>
    <row r="665" spans="13:16" customFormat="1" x14ac:dyDescent="0.25">
      <c r="M665" t="s">
        <v>162</v>
      </c>
      <c r="N665" s="35"/>
      <c r="O665" s="35"/>
    </row>
    <row r="666" spans="13:16" customFormat="1" x14ac:dyDescent="0.25">
      <c r="M666" t="s">
        <v>24</v>
      </c>
      <c r="N666" s="35">
        <f t="shared" si="93"/>
        <v>1.6036184210526316E-3</v>
      </c>
      <c r="O666" s="35">
        <f t="shared" si="94"/>
        <v>0</v>
      </c>
      <c r="P666" s="35">
        <f>ABS(N666-O666)</f>
        <v>1.6036184210526316E-3</v>
      </c>
    </row>
    <row r="667" spans="13:16" customFormat="1" x14ac:dyDescent="0.25">
      <c r="M667" t="s">
        <v>25</v>
      </c>
      <c r="N667" s="35">
        <f t="shared" si="93"/>
        <v>8.5749675113710212E-3</v>
      </c>
      <c r="O667" s="35">
        <f t="shared" si="94"/>
        <v>1.0273972602739725E-2</v>
      </c>
      <c r="P667" s="35">
        <f t="shared" ref="P667:P680" si="96">ABS(N667-O667)</f>
        <v>1.6990050913687042E-3</v>
      </c>
    </row>
    <row r="668" spans="13:16" customFormat="1" x14ac:dyDescent="0.25">
      <c r="M668" t="s">
        <v>26</v>
      </c>
      <c r="N668" s="35">
        <f t="shared" si="93"/>
        <v>1.9671864847303443E-2</v>
      </c>
      <c r="O668" s="35">
        <f t="shared" si="94"/>
        <v>4.1095890410958902E-2</v>
      </c>
      <c r="P668" s="35">
        <f t="shared" si="96"/>
        <v>2.1424025563655458E-2</v>
      </c>
    </row>
    <row r="669" spans="13:16" customFormat="1" x14ac:dyDescent="0.25">
      <c r="M669" t="s">
        <v>27</v>
      </c>
      <c r="N669" s="35">
        <f t="shared" si="93"/>
        <v>4.9908118096166333E-2</v>
      </c>
      <c r="O669" s="35">
        <f t="shared" si="94"/>
        <v>6.8493150684931503E-2</v>
      </c>
      <c r="P669" s="35">
        <f t="shared" si="96"/>
        <v>1.858503258876517E-2</v>
      </c>
    </row>
    <row r="670" spans="13:16" customFormat="1" x14ac:dyDescent="0.25">
      <c r="M670" t="s">
        <v>28</v>
      </c>
      <c r="N670" s="35">
        <f t="shared" si="93"/>
        <v>0.11299798976608186</v>
      </c>
      <c r="O670" s="35">
        <f t="shared" si="94"/>
        <v>0.16438356164383561</v>
      </c>
      <c r="P670" s="35">
        <f t="shared" si="96"/>
        <v>5.138557187775375E-2</v>
      </c>
    </row>
    <row r="671" spans="13:16" customFormat="1" x14ac:dyDescent="0.25">
      <c r="M671" t="s">
        <v>29</v>
      </c>
      <c r="N671" s="35">
        <f t="shared" si="93"/>
        <v>0.22193642381416503</v>
      </c>
      <c r="O671" s="35">
        <f t="shared" si="94"/>
        <v>0.29452054794520549</v>
      </c>
      <c r="P671" s="35">
        <f t="shared" si="96"/>
        <v>7.2584124131040456E-2</v>
      </c>
    </row>
    <row r="672" spans="13:16" customFormat="1" x14ac:dyDescent="0.25">
      <c r="M672" t="s">
        <v>30</v>
      </c>
      <c r="N672" s="35">
        <f t="shared" si="93"/>
        <v>0.43094085038986352</v>
      </c>
      <c r="O672" s="35">
        <f t="shared" si="94"/>
        <v>0.4863013698630137</v>
      </c>
      <c r="P672" s="35">
        <f t="shared" si="96"/>
        <v>5.5360519473150183E-2</v>
      </c>
    </row>
    <row r="673" spans="13:16" customFormat="1" x14ac:dyDescent="0.25">
      <c r="M673" t="s">
        <v>31</v>
      </c>
      <c r="N673" s="35">
        <f t="shared" si="93"/>
        <v>0.78801372644574397</v>
      </c>
      <c r="O673" s="35">
        <f t="shared" si="94"/>
        <v>0.74657534246575352</v>
      </c>
      <c r="P673" s="35">
        <f t="shared" si="96"/>
        <v>4.1438383979990445E-2</v>
      </c>
    </row>
    <row r="674" spans="13:16" customFormat="1" x14ac:dyDescent="0.25">
      <c r="M674" t="s">
        <v>32</v>
      </c>
      <c r="N674" s="35">
        <f t="shared" si="93"/>
        <v>0.9123299423326835</v>
      </c>
      <c r="O674" s="35">
        <f t="shared" si="94"/>
        <v>0.84931506849315086</v>
      </c>
      <c r="P674" s="35">
        <f t="shared" si="96"/>
        <v>6.3014873839532637E-2</v>
      </c>
    </row>
    <row r="675" spans="13:16" customFormat="1" x14ac:dyDescent="0.25">
      <c r="M675" t="s">
        <v>33</v>
      </c>
      <c r="N675" s="35">
        <f t="shared" si="93"/>
        <v>0.96653772742040289</v>
      </c>
      <c r="O675" s="35">
        <f t="shared" si="94"/>
        <v>0.91095890410958924</v>
      </c>
      <c r="P675" s="35">
        <f t="shared" si="96"/>
        <v>5.5578823310813652E-2</v>
      </c>
    </row>
    <row r="676" spans="13:16" customFormat="1" x14ac:dyDescent="0.25">
      <c r="M676" t="s">
        <v>34</v>
      </c>
      <c r="N676" s="35">
        <f t="shared" si="93"/>
        <v>0.98542783463287842</v>
      </c>
      <c r="O676" s="35">
        <f t="shared" si="94"/>
        <v>0.96232876712328796</v>
      </c>
      <c r="P676" s="35">
        <f t="shared" si="96"/>
        <v>2.3099067509590454E-2</v>
      </c>
    </row>
    <row r="677" spans="13:16" customFormat="1" x14ac:dyDescent="0.25">
      <c r="M677" t="s">
        <v>35</v>
      </c>
      <c r="N677" s="35">
        <f t="shared" si="93"/>
        <v>0.99385558804418439</v>
      </c>
      <c r="O677" s="35">
        <f t="shared" si="94"/>
        <v>0.98630136986301409</v>
      </c>
      <c r="P677" s="35">
        <f t="shared" si="96"/>
        <v>7.5542181811703024E-3</v>
      </c>
    </row>
    <row r="678" spans="13:16" customFormat="1" x14ac:dyDescent="0.25">
      <c r="M678" t="s">
        <v>36</v>
      </c>
      <c r="N678" s="35">
        <f t="shared" si="93"/>
        <v>0.99462719298245594</v>
      </c>
      <c r="O678" s="35">
        <f t="shared" si="94"/>
        <v>0.98972602739726068</v>
      </c>
      <c r="P678" s="35">
        <f t="shared" si="96"/>
        <v>4.9011655851952662E-3</v>
      </c>
    </row>
    <row r="679" spans="13:16" customFormat="1" x14ac:dyDescent="0.25">
      <c r="M679" t="s">
        <v>37</v>
      </c>
      <c r="N679" s="35">
        <f t="shared" si="93"/>
        <v>0.99683845029239748</v>
      </c>
      <c r="O679" s="35">
        <f t="shared" si="94"/>
        <v>0.99315068493150727</v>
      </c>
      <c r="P679" s="35">
        <f t="shared" si="96"/>
        <v>3.6877653608902161E-3</v>
      </c>
    </row>
    <row r="680" spans="13:16" customFormat="1" x14ac:dyDescent="0.25">
      <c r="M680" t="s">
        <v>38</v>
      </c>
      <c r="N680" s="35">
        <f t="shared" si="93"/>
        <v>0.99999999999999978</v>
      </c>
      <c r="O680" s="35">
        <f t="shared" si="94"/>
        <v>1.0000000000000004</v>
      </c>
      <c r="P680" s="35">
        <f t="shared" si="96"/>
        <v>6.6613381477509392E-16</v>
      </c>
    </row>
    <row r="681" spans="13:16" customFormat="1" x14ac:dyDescent="0.25">
      <c r="M681" t="s">
        <v>15</v>
      </c>
      <c r="N681" s="35"/>
      <c r="O681" s="35"/>
      <c r="P681" s="35">
        <f>MAX(P666:P680)</f>
        <v>7.2584124131040456E-2</v>
      </c>
    </row>
    <row r="682" spans="13:16" customFormat="1" x14ac:dyDescent="0.25">
      <c r="M682" t="s">
        <v>163</v>
      </c>
      <c r="N682" s="35"/>
      <c r="O682" s="35"/>
    </row>
    <row r="683" spans="13:16" customFormat="1" x14ac:dyDescent="0.25">
      <c r="M683" t="s">
        <v>40</v>
      </c>
      <c r="N683" s="35">
        <f t="shared" si="93"/>
        <v>9.4932789148797925E-3</v>
      </c>
      <c r="O683" s="35">
        <f t="shared" si="94"/>
        <v>1.3698630136986301E-2</v>
      </c>
      <c r="P683" s="35">
        <f>ABS(N683-O683)</f>
        <v>4.2053512221065081E-3</v>
      </c>
    </row>
    <row r="684" spans="13:16" customFormat="1" x14ac:dyDescent="0.25">
      <c r="M684" t="s">
        <v>41</v>
      </c>
      <c r="N684" s="35">
        <f t="shared" si="93"/>
        <v>1.4691967186484731E-2</v>
      </c>
      <c r="O684" s="35">
        <f t="shared" si="94"/>
        <v>1.7123287671232876E-2</v>
      </c>
      <c r="P684" s="35">
        <f t="shared" ref="P684:P697" si="97">ABS(N684-O684)</f>
        <v>2.4313204847481451E-3</v>
      </c>
    </row>
    <row r="685" spans="13:16" customFormat="1" x14ac:dyDescent="0.25">
      <c r="M685" t="s">
        <v>42</v>
      </c>
      <c r="N685" s="35">
        <f t="shared" si="93"/>
        <v>3.1643924626380771E-2</v>
      </c>
      <c r="O685" s="35">
        <f t="shared" si="94"/>
        <v>3.0821917808219176E-2</v>
      </c>
      <c r="P685" s="35">
        <f t="shared" si="97"/>
        <v>8.2200681816159415E-4</v>
      </c>
    </row>
    <row r="686" spans="13:16" customFormat="1" x14ac:dyDescent="0.25">
      <c r="M686" t="s">
        <v>43</v>
      </c>
      <c r="N686" s="35">
        <f t="shared" si="93"/>
        <v>5.2596044509421701E-2</v>
      </c>
      <c r="O686" s="35">
        <f t="shared" si="94"/>
        <v>6.1643835616438353E-2</v>
      </c>
      <c r="P686" s="35">
        <f t="shared" si="97"/>
        <v>9.047791107016652E-3</v>
      </c>
    </row>
    <row r="687" spans="13:16" customFormat="1" x14ac:dyDescent="0.25">
      <c r="M687" t="s">
        <v>44</v>
      </c>
      <c r="N687" s="35">
        <f t="shared" si="93"/>
        <v>0.11733572936972059</v>
      </c>
      <c r="O687" s="35">
        <f t="shared" si="94"/>
        <v>0.15753424657534248</v>
      </c>
      <c r="P687" s="35">
        <f t="shared" si="97"/>
        <v>4.0198517205621898E-2</v>
      </c>
    </row>
    <row r="688" spans="13:16" customFormat="1" x14ac:dyDescent="0.25">
      <c r="M688" t="s">
        <v>45</v>
      </c>
      <c r="N688" s="35">
        <f t="shared" si="93"/>
        <v>0.19578561565951919</v>
      </c>
      <c r="O688" s="35">
        <f t="shared" si="94"/>
        <v>0.27397260273972607</v>
      </c>
      <c r="P688" s="35">
        <f t="shared" si="97"/>
        <v>7.8186987080206882E-2</v>
      </c>
    </row>
    <row r="689" spans="13:23" customFormat="1" x14ac:dyDescent="0.25">
      <c r="M689" t="s">
        <v>46</v>
      </c>
      <c r="N689" s="35">
        <f t="shared" si="93"/>
        <v>0.35613832033788173</v>
      </c>
      <c r="O689" s="35">
        <f t="shared" si="94"/>
        <v>0.4315068493150685</v>
      </c>
      <c r="P689" s="35">
        <f t="shared" si="97"/>
        <v>7.5368528977186766E-2</v>
      </c>
    </row>
    <row r="690" spans="13:23" customFormat="1" x14ac:dyDescent="0.25">
      <c r="M690" t="s">
        <v>47</v>
      </c>
      <c r="N690" s="35">
        <f t="shared" si="93"/>
        <v>0.54516325536062382</v>
      </c>
      <c r="O690" s="35">
        <f t="shared" si="94"/>
        <v>0.6404109589041096</v>
      </c>
      <c r="P690" s="35">
        <f t="shared" si="97"/>
        <v>9.5247703543485773E-2</v>
      </c>
    </row>
    <row r="691" spans="13:23" customFormat="1" x14ac:dyDescent="0.25">
      <c r="M691" t="s">
        <v>48</v>
      </c>
      <c r="N691" s="35">
        <f t="shared" si="93"/>
        <v>0.75237928443794666</v>
      </c>
      <c r="O691" s="35">
        <f t="shared" si="94"/>
        <v>0.81506849315068508</v>
      </c>
      <c r="P691" s="35">
        <f t="shared" si="97"/>
        <v>6.268920871273842E-2</v>
      </c>
    </row>
    <row r="692" spans="13:23" customFormat="1" x14ac:dyDescent="0.25">
      <c r="M692" t="s">
        <v>49</v>
      </c>
      <c r="N692" s="35">
        <f t="shared" si="93"/>
        <v>0.8544808926250812</v>
      </c>
      <c r="O692" s="35">
        <f t="shared" si="94"/>
        <v>0.90753424657534265</v>
      </c>
      <c r="P692" s="35">
        <f t="shared" si="97"/>
        <v>5.305335395026145E-2</v>
      </c>
    </row>
    <row r="693" spans="13:23" customFormat="1" x14ac:dyDescent="0.25">
      <c r="M693" t="s">
        <v>50</v>
      </c>
      <c r="N693" s="35">
        <f t="shared" si="93"/>
        <v>0.93757259178037677</v>
      </c>
      <c r="O693" s="35">
        <f t="shared" si="94"/>
        <v>0.96575342465753455</v>
      </c>
      <c r="P693" s="35">
        <f t="shared" si="97"/>
        <v>2.818083287715778E-2</v>
      </c>
    </row>
    <row r="694" spans="13:23" customFormat="1" x14ac:dyDescent="0.25">
      <c r="M694" t="s">
        <v>51</v>
      </c>
      <c r="N694" s="35">
        <f t="shared" si="93"/>
        <v>0.97083790204678366</v>
      </c>
      <c r="O694" s="35">
        <f t="shared" si="94"/>
        <v>0.99315068493150727</v>
      </c>
      <c r="P694" s="35">
        <f t="shared" si="97"/>
        <v>2.2312782884723603E-2</v>
      </c>
    </row>
    <row r="695" spans="13:23" customFormat="1" x14ac:dyDescent="0.25">
      <c r="M695" t="s">
        <v>52</v>
      </c>
      <c r="N695" s="35">
        <f t="shared" si="93"/>
        <v>0.99246720679012346</v>
      </c>
      <c r="O695" s="35">
        <f t="shared" si="94"/>
        <v>0.99657534246575386</v>
      </c>
      <c r="P695" s="35">
        <f t="shared" si="97"/>
        <v>4.1081356756303977E-3</v>
      </c>
    </row>
    <row r="696" spans="13:23" customFormat="1" x14ac:dyDescent="0.25">
      <c r="M696" t="s">
        <v>53</v>
      </c>
      <c r="N696" s="35">
        <f t="shared" si="93"/>
        <v>0.99540895061728385</v>
      </c>
      <c r="O696" s="35">
        <f t="shared" si="94"/>
        <v>1.0000000000000004</v>
      </c>
      <c r="P696" s="35">
        <f t="shared" si="97"/>
        <v>4.5910493827165944E-3</v>
      </c>
    </row>
    <row r="697" spans="13:23" customFormat="1" x14ac:dyDescent="0.25">
      <c r="M697" t="s">
        <v>54</v>
      </c>
      <c r="N697" s="35">
        <f t="shared" si="93"/>
        <v>1</v>
      </c>
      <c r="O697" s="35">
        <f t="shared" si="94"/>
        <v>1.0000000000000004</v>
      </c>
      <c r="P697" s="35">
        <f t="shared" si="97"/>
        <v>4.4408920985006262E-16</v>
      </c>
    </row>
    <row r="698" spans="13:23" customFormat="1" x14ac:dyDescent="0.25">
      <c r="M698" t="s">
        <v>15</v>
      </c>
      <c r="P698" s="35">
        <f>MAX(P683:P697)</f>
        <v>9.5247703543485773E-2</v>
      </c>
    </row>
    <row r="700" spans="13:23" customFormat="1" x14ac:dyDescent="0.25">
      <c r="M700" s="37" t="s">
        <v>236</v>
      </c>
      <c r="T700" t="s">
        <v>153</v>
      </c>
    </row>
    <row r="701" spans="13:23" customFormat="1" x14ac:dyDescent="0.25">
      <c r="M701" t="s">
        <v>160</v>
      </c>
      <c r="N701" t="s">
        <v>224</v>
      </c>
      <c r="O701" t="s">
        <v>14</v>
      </c>
      <c r="P701" t="s">
        <v>39</v>
      </c>
      <c r="T701" t="s">
        <v>145</v>
      </c>
      <c r="U701" t="s">
        <v>146</v>
      </c>
      <c r="V701" t="s">
        <v>150</v>
      </c>
    </row>
    <row r="702" spans="13:23" customFormat="1" x14ac:dyDescent="0.25">
      <c r="M702" t="s">
        <v>6</v>
      </c>
      <c r="N702" s="35">
        <f>N534</f>
        <v>1.3532190816547543E-2</v>
      </c>
      <c r="O702" s="35">
        <f>N142</f>
        <v>1.0273972602739725E-2</v>
      </c>
      <c r="P702" s="35">
        <f t="shared" ref="P702:P709" si="98">ABS(N702-O702)</f>
        <v>3.2582182138078172E-3</v>
      </c>
      <c r="T702">
        <v>0.1</v>
      </c>
      <c r="U702">
        <v>1.22</v>
      </c>
      <c r="V702">
        <f>SQRT((T707+T708)/(T707*T708))</f>
        <v>0.13385828110239098</v>
      </c>
      <c r="W702">
        <f>PRODUCT(V702, U702)</f>
        <v>0.16330710294491699</v>
      </c>
    </row>
    <row r="703" spans="13:23" customFormat="1" x14ac:dyDescent="0.25">
      <c r="M703" t="s">
        <v>7</v>
      </c>
      <c r="N703" s="35">
        <f t="shared" ref="N703:N753" si="99">N535</f>
        <v>5.3277409891831974E-2</v>
      </c>
      <c r="O703" s="35">
        <f t="shared" ref="O703:O753" si="100">N143</f>
        <v>5.8219178082191778E-2</v>
      </c>
      <c r="P703" s="35">
        <f t="shared" si="98"/>
        <v>4.9417681903598035E-3</v>
      </c>
      <c r="T703">
        <v>0.05</v>
      </c>
      <c r="U703">
        <v>1.36</v>
      </c>
      <c r="W703">
        <f>V702*U703</f>
        <v>0.18204726229925175</v>
      </c>
    </row>
    <row r="704" spans="13:23" customFormat="1" x14ac:dyDescent="0.25">
      <c r="M704" t="s">
        <v>8</v>
      </c>
      <c r="N704" s="35">
        <f t="shared" si="99"/>
        <v>0.29271780918345242</v>
      </c>
      <c r="O704" s="35">
        <f t="shared" si="100"/>
        <v>0.27397260273972601</v>
      </c>
      <c r="P704" s="35">
        <f t="shared" si="98"/>
        <v>1.8745206443726403E-2</v>
      </c>
      <c r="T704">
        <v>0.01</v>
      </c>
      <c r="U704">
        <v>1.63</v>
      </c>
      <c r="W704">
        <f>V702*U704</f>
        <v>0.21818899819689727</v>
      </c>
    </row>
    <row r="705" spans="13:22" customFormat="1" x14ac:dyDescent="0.25">
      <c r="M705" t="s">
        <v>9</v>
      </c>
      <c r="N705" s="35">
        <f t="shared" si="99"/>
        <v>0.67986787957548189</v>
      </c>
      <c r="O705" s="35">
        <f t="shared" si="100"/>
        <v>0.59589041095890405</v>
      </c>
      <c r="P705" s="35">
        <f t="shared" si="98"/>
        <v>8.3977468616577844E-2</v>
      </c>
      <c r="R705" t="s">
        <v>293</v>
      </c>
      <c r="V705" s="35">
        <f>MAX(P710, P720, P737)</f>
        <v>0.12035716722891282</v>
      </c>
    </row>
    <row r="706" spans="13:22" customFormat="1" x14ac:dyDescent="0.25">
      <c r="M706" t="s">
        <v>10</v>
      </c>
      <c r="N706" s="35">
        <f t="shared" si="99"/>
        <v>0.86802509746588685</v>
      </c>
      <c r="O706" s="35">
        <f t="shared" si="100"/>
        <v>0.75</v>
      </c>
      <c r="P706" s="35">
        <f t="shared" si="98"/>
        <v>0.11802509746588685</v>
      </c>
      <c r="T706" t="s">
        <v>147</v>
      </c>
    </row>
    <row r="707" spans="13:22" customFormat="1" x14ac:dyDescent="0.25">
      <c r="M707" t="s">
        <v>11</v>
      </c>
      <c r="N707" s="35">
        <f t="shared" si="99"/>
        <v>0.9568429174788825</v>
      </c>
      <c r="O707" s="35">
        <f t="shared" si="100"/>
        <v>0.94178082191780821</v>
      </c>
      <c r="P707" s="35">
        <f t="shared" si="98"/>
        <v>1.5062095561074296E-2</v>
      </c>
      <c r="S707" t="s">
        <v>226</v>
      </c>
      <c r="T707">
        <v>237</v>
      </c>
    </row>
    <row r="708" spans="13:22" customFormat="1" x14ac:dyDescent="0.25">
      <c r="M708" t="s">
        <v>12</v>
      </c>
      <c r="N708" s="35">
        <f t="shared" si="99"/>
        <v>0.98206898418886723</v>
      </c>
      <c r="O708" s="35">
        <f t="shared" si="100"/>
        <v>0.96917808219178081</v>
      </c>
      <c r="P708" s="35">
        <f t="shared" si="98"/>
        <v>1.2890901997086424E-2</v>
      </c>
      <c r="S708" t="s">
        <v>149</v>
      </c>
      <c r="T708">
        <v>73</v>
      </c>
    </row>
    <row r="709" spans="13:22" customFormat="1" x14ac:dyDescent="0.25">
      <c r="M709" t="s">
        <v>22</v>
      </c>
      <c r="N709" s="35">
        <f t="shared" si="99"/>
        <v>1</v>
      </c>
      <c r="O709" s="35">
        <f t="shared" si="100"/>
        <v>1</v>
      </c>
      <c r="P709" s="35">
        <f t="shared" si="98"/>
        <v>0</v>
      </c>
    </row>
    <row r="710" spans="13:22" customFormat="1" x14ac:dyDescent="0.25">
      <c r="M710" t="s">
        <v>15</v>
      </c>
      <c r="N710" s="35"/>
      <c r="O710" s="35"/>
      <c r="P710" s="35">
        <f>MAX(P702:P709)</f>
        <v>0.11802509746588685</v>
      </c>
    </row>
    <row r="711" spans="13:22" customFormat="1" x14ac:dyDescent="0.25">
      <c r="M711" t="s">
        <v>161</v>
      </c>
      <c r="N711" s="35"/>
      <c r="O711" s="35"/>
    </row>
    <row r="712" spans="13:22" customFormat="1" x14ac:dyDescent="0.25">
      <c r="M712" t="s">
        <v>93</v>
      </c>
      <c r="N712" s="35">
        <f t="shared" si="99"/>
        <v>5.3954136885423436E-2</v>
      </c>
      <c r="O712" s="35">
        <f t="shared" si="100"/>
        <v>8.5616438356164379E-2</v>
      </c>
      <c r="P712" s="35">
        <f>ABS(N712-O712)</f>
        <v>3.1662301470740943E-2</v>
      </c>
    </row>
    <row r="713" spans="13:22" customFormat="1" x14ac:dyDescent="0.25">
      <c r="M713" t="s">
        <v>16</v>
      </c>
      <c r="N713" s="35">
        <f t="shared" si="99"/>
        <v>0.11501651505306476</v>
      </c>
      <c r="O713" s="35">
        <f t="shared" si="100"/>
        <v>0.1404109589041096</v>
      </c>
      <c r="P713" s="35">
        <f t="shared" ref="P713:P719" si="101">ABS(N713-O713)</f>
        <v>2.5394443851044834E-2</v>
      </c>
    </row>
    <row r="714" spans="13:22" customFormat="1" x14ac:dyDescent="0.25">
      <c r="M714" t="s">
        <v>17</v>
      </c>
      <c r="N714" s="35">
        <f t="shared" si="99"/>
        <v>0.27347844920944336</v>
      </c>
      <c r="O714" s="35">
        <f t="shared" si="100"/>
        <v>0.39383561643835618</v>
      </c>
      <c r="P714" s="35">
        <f t="shared" si="101"/>
        <v>0.12035716722891282</v>
      </c>
    </row>
    <row r="715" spans="13:22" customFormat="1" x14ac:dyDescent="0.25">
      <c r="M715" t="s">
        <v>18</v>
      </c>
      <c r="N715" s="35">
        <f t="shared" si="99"/>
        <v>0.50196826943902961</v>
      </c>
      <c r="O715" s="35">
        <f t="shared" si="100"/>
        <v>0.5547945205479452</v>
      </c>
      <c r="P715" s="35">
        <f t="shared" si="101"/>
        <v>5.282625110891559E-2</v>
      </c>
    </row>
    <row r="716" spans="13:22" customFormat="1" x14ac:dyDescent="0.25">
      <c r="M716" t="s">
        <v>19</v>
      </c>
      <c r="N716" s="35">
        <f t="shared" si="99"/>
        <v>0.7906324453108079</v>
      </c>
      <c r="O716" s="35">
        <f t="shared" si="100"/>
        <v>0.81164383561643838</v>
      </c>
      <c r="P716" s="35">
        <f t="shared" si="101"/>
        <v>2.1011390305630484E-2</v>
      </c>
    </row>
    <row r="717" spans="13:22" customFormat="1" x14ac:dyDescent="0.25">
      <c r="M717" t="s">
        <v>20</v>
      </c>
      <c r="N717" s="35">
        <f t="shared" si="99"/>
        <v>0.92158395603205534</v>
      </c>
      <c r="O717" s="35">
        <f t="shared" si="100"/>
        <v>0.93493150684931514</v>
      </c>
      <c r="P717" s="35">
        <f t="shared" si="101"/>
        <v>1.3347550817259801E-2</v>
      </c>
    </row>
    <row r="718" spans="13:22" customFormat="1" x14ac:dyDescent="0.25">
      <c r="M718" t="s">
        <v>21</v>
      </c>
      <c r="N718" s="35">
        <f t="shared" si="99"/>
        <v>0.98194647498375576</v>
      </c>
      <c r="O718" s="35">
        <f t="shared" si="100"/>
        <v>0.98287671232876717</v>
      </c>
      <c r="P718" s="35">
        <f t="shared" si="101"/>
        <v>9.3023734501140876E-4</v>
      </c>
    </row>
    <row r="719" spans="13:22" customFormat="1" x14ac:dyDescent="0.25">
      <c r="M719" t="s">
        <v>23</v>
      </c>
      <c r="N719" s="35">
        <f t="shared" si="99"/>
        <v>1</v>
      </c>
      <c r="O719" s="35">
        <f t="shared" si="100"/>
        <v>1</v>
      </c>
      <c r="P719" s="35">
        <f t="shared" si="101"/>
        <v>0</v>
      </c>
    </row>
    <row r="720" spans="13:22" customFormat="1" x14ac:dyDescent="0.25">
      <c r="M720" t="s">
        <v>15</v>
      </c>
      <c r="N720" s="35"/>
      <c r="O720" s="35"/>
      <c r="P720" s="35">
        <f>MAX(P712:P719)</f>
        <v>0.12035716722891282</v>
      </c>
    </row>
    <row r="721" spans="13:16" customFormat="1" x14ac:dyDescent="0.25">
      <c r="M721" t="s">
        <v>162</v>
      </c>
      <c r="N721" s="35"/>
      <c r="O721" s="35"/>
    </row>
    <row r="722" spans="13:16" customFormat="1" x14ac:dyDescent="0.25">
      <c r="M722" t="s">
        <v>24</v>
      </c>
      <c r="N722" s="35">
        <f t="shared" si="99"/>
        <v>2.1381578947368422E-3</v>
      </c>
      <c r="O722" s="35">
        <f t="shared" si="100"/>
        <v>0</v>
      </c>
      <c r="P722" s="35">
        <f>ABS(N722-O722)</f>
        <v>2.1381578947368422E-3</v>
      </c>
    </row>
    <row r="723" spans="13:16" customFormat="1" x14ac:dyDescent="0.25">
      <c r="M723" t="s">
        <v>25</v>
      </c>
      <c r="N723" s="35">
        <f t="shared" si="99"/>
        <v>9.5814381633095077E-3</v>
      </c>
      <c r="O723" s="35">
        <f t="shared" si="100"/>
        <v>1.0273972602739725E-2</v>
      </c>
      <c r="P723" s="35">
        <f t="shared" ref="P723:P736" si="102">ABS(N723-O723)</f>
        <v>6.9253443943021777E-4</v>
      </c>
    </row>
    <row r="724" spans="13:16" customFormat="1" x14ac:dyDescent="0.25">
      <c r="M724" t="s">
        <v>26</v>
      </c>
      <c r="N724" s="35">
        <f t="shared" si="99"/>
        <v>1.6969893870478665E-2</v>
      </c>
      <c r="O724" s="35">
        <f t="shared" si="100"/>
        <v>4.1095890410958902E-2</v>
      </c>
      <c r="P724" s="35">
        <f t="shared" si="102"/>
        <v>2.4125996540480237E-2</v>
      </c>
    </row>
    <row r="725" spans="13:16" customFormat="1" x14ac:dyDescent="0.25">
      <c r="M725" t="s">
        <v>27</v>
      </c>
      <c r="N725" s="35">
        <f t="shared" si="99"/>
        <v>5.0803416720814377E-2</v>
      </c>
      <c r="O725" s="35">
        <f t="shared" si="100"/>
        <v>6.8493150684931503E-2</v>
      </c>
      <c r="P725" s="35">
        <f t="shared" si="102"/>
        <v>1.7689733964117126E-2</v>
      </c>
    </row>
    <row r="726" spans="13:16" customFormat="1" x14ac:dyDescent="0.25">
      <c r="M726" t="s">
        <v>28</v>
      </c>
      <c r="N726" s="35">
        <f t="shared" si="99"/>
        <v>0.12196028265107212</v>
      </c>
      <c r="O726" s="35">
        <f t="shared" si="100"/>
        <v>0.16438356164383561</v>
      </c>
      <c r="P726" s="35">
        <f t="shared" si="102"/>
        <v>4.2423278992763491E-2</v>
      </c>
    </row>
    <row r="727" spans="13:16" customFormat="1" x14ac:dyDescent="0.25">
      <c r="M727" t="s">
        <v>29</v>
      </c>
      <c r="N727" s="35">
        <f t="shared" si="99"/>
        <v>0.23295226878925709</v>
      </c>
      <c r="O727" s="35">
        <f t="shared" si="100"/>
        <v>0.29452054794520549</v>
      </c>
      <c r="P727" s="35">
        <f t="shared" si="102"/>
        <v>6.1568279155948397E-2</v>
      </c>
    </row>
    <row r="728" spans="13:16" customFormat="1" x14ac:dyDescent="0.25">
      <c r="M728" t="s">
        <v>30</v>
      </c>
      <c r="N728" s="35">
        <f t="shared" si="99"/>
        <v>0.42921743014944774</v>
      </c>
      <c r="O728" s="35">
        <f t="shared" si="100"/>
        <v>0.4863013698630137</v>
      </c>
      <c r="P728" s="35">
        <f t="shared" si="102"/>
        <v>5.7083939713565957E-2</v>
      </c>
    </row>
    <row r="729" spans="13:16" customFormat="1" x14ac:dyDescent="0.25">
      <c r="M729" t="s">
        <v>31</v>
      </c>
      <c r="N729" s="35">
        <f t="shared" si="99"/>
        <v>0.78216645007580687</v>
      </c>
      <c r="O729" s="35">
        <f t="shared" si="100"/>
        <v>0.74657534246575352</v>
      </c>
      <c r="P729" s="35">
        <f t="shared" si="102"/>
        <v>3.5591107610053352E-2</v>
      </c>
    </row>
    <row r="730" spans="13:16" customFormat="1" x14ac:dyDescent="0.25">
      <c r="M730" t="s">
        <v>32</v>
      </c>
      <c r="N730" s="35">
        <f t="shared" si="99"/>
        <v>0.9071806638509855</v>
      </c>
      <c r="O730" s="35">
        <f t="shared" si="100"/>
        <v>0.84931506849315086</v>
      </c>
      <c r="P730" s="35">
        <f t="shared" si="102"/>
        <v>5.7865595357834643E-2</v>
      </c>
    </row>
    <row r="731" spans="13:16" customFormat="1" x14ac:dyDescent="0.25">
      <c r="M731" t="s">
        <v>33</v>
      </c>
      <c r="N731" s="35">
        <f t="shared" si="99"/>
        <v>0.96742067359757422</v>
      </c>
      <c r="O731" s="35">
        <f t="shared" si="100"/>
        <v>0.91095890410958924</v>
      </c>
      <c r="P731" s="35">
        <f t="shared" si="102"/>
        <v>5.6461769487984981E-2</v>
      </c>
    </row>
    <row r="732" spans="13:16" customFormat="1" x14ac:dyDescent="0.25">
      <c r="M732" t="s">
        <v>34</v>
      </c>
      <c r="N732" s="35">
        <f t="shared" si="99"/>
        <v>0.9861260017327268</v>
      </c>
      <c r="O732" s="35">
        <f t="shared" si="100"/>
        <v>0.96232876712328796</v>
      </c>
      <c r="P732" s="35">
        <f t="shared" si="102"/>
        <v>2.3797234609438833E-2</v>
      </c>
    </row>
    <row r="733" spans="13:16" customFormat="1" x14ac:dyDescent="0.25">
      <c r="M733" t="s">
        <v>35</v>
      </c>
      <c r="N733" s="35">
        <f t="shared" si="99"/>
        <v>0.99458522850335707</v>
      </c>
      <c r="O733" s="35">
        <f t="shared" si="100"/>
        <v>0.98630136986301409</v>
      </c>
      <c r="P733" s="35">
        <f t="shared" si="102"/>
        <v>8.2838586403429781E-3</v>
      </c>
    </row>
    <row r="734" spans="13:16" customFormat="1" x14ac:dyDescent="0.25">
      <c r="M734" t="s">
        <v>36</v>
      </c>
      <c r="N734" s="35">
        <f t="shared" si="99"/>
        <v>0.99561403508771917</v>
      </c>
      <c r="O734" s="35">
        <f t="shared" si="100"/>
        <v>0.98972602739726068</v>
      </c>
      <c r="P734" s="35">
        <f t="shared" si="102"/>
        <v>5.8880076904584966E-3</v>
      </c>
    </row>
    <row r="735" spans="13:16" customFormat="1" x14ac:dyDescent="0.25">
      <c r="M735" t="s">
        <v>37</v>
      </c>
      <c r="N735" s="35">
        <f t="shared" si="99"/>
        <v>0.99671052631578938</v>
      </c>
      <c r="O735" s="35">
        <f t="shared" si="100"/>
        <v>0.99315068493150727</v>
      </c>
      <c r="P735" s="35">
        <f t="shared" si="102"/>
        <v>3.5598413842821142E-3</v>
      </c>
    </row>
    <row r="736" spans="13:16" customFormat="1" x14ac:dyDescent="0.25">
      <c r="M736" t="s">
        <v>38</v>
      </c>
      <c r="N736" s="35">
        <f t="shared" si="99"/>
        <v>1</v>
      </c>
      <c r="O736" s="35">
        <f t="shared" si="100"/>
        <v>1.0000000000000004</v>
      </c>
      <c r="P736" s="35">
        <f t="shared" si="102"/>
        <v>4.4408920985006262E-16</v>
      </c>
    </row>
    <row r="737" spans="13:16" customFormat="1" x14ac:dyDescent="0.25">
      <c r="M737" t="s">
        <v>15</v>
      </c>
      <c r="N737" s="35"/>
      <c r="O737" s="35"/>
      <c r="P737" s="35">
        <f>MAX(P722:P736)</f>
        <v>6.1568279155948397E-2</v>
      </c>
    </row>
    <row r="738" spans="13:16" customFormat="1" x14ac:dyDescent="0.25">
      <c r="M738" t="s">
        <v>163</v>
      </c>
      <c r="N738" s="35"/>
      <c r="O738" s="35"/>
    </row>
    <row r="739" spans="13:16" customFormat="1" x14ac:dyDescent="0.25">
      <c r="M739" t="s">
        <v>40</v>
      </c>
      <c r="N739" s="35">
        <f t="shared" si="99"/>
        <v>5.2502978124323143E-3</v>
      </c>
      <c r="O739" s="35">
        <f t="shared" si="100"/>
        <v>1.3698630136986301E-2</v>
      </c>
      <c r="P739" s="35">
        <f>ABS(N739-O739)</f>
        <v>8.4483323245539872E-3</v>
      </c>
    </row>
    <row r="740" spans="13:16" customFormat="1" x14ac:dyDescent="0.25">
      <c r="M740" t="s">
        <v>41</v>
      </c>
      <c r="N740" s="35">
        <f t="shared" si="99"/>
        <v>9.4041043967944549E-3</v>
      </c>
      <c r="O740" s="35">
        <f t="shared" si="100"/>
        <v>1.7123287671232876E-2</v>
      </c>
      <c r="P740" s="35">
        <f t="shared" ref="P740:P753" si="103">ABS(N740-O740)</f>
        <v>7.7191832744384209E-3</v>
      </c>
    </row>
    <row r="741" spans="13:16" customFormat="1" x14ac:dyDescent="0.25">
      <c r="M741" t="s">
        <v>42</v>
      </c>
      <c r="N741" s="35">
        <f t="shared" si="99"/>
        <v>2.7377084687026206E-2</v>
      </c>
      <c r="O741" s="35">
        <f t="shared" si="100"/>
        <v>3.0821917808219176E-2</v>
      </c>
      <c r="P741" s="35">
        <f t="shared" si="103"/>
        <v>3.4448331211929702E-3</v>
      </c>
    </row>
    <row r="742" spans="13:16" customFormat="1" x14ac:dyDescent="0.25">
      <c r="M742" t="s">
        <v>43</v>
      </c>
      <c r="N742" s="35">
        <f t="shared" si="99"/>
        <v>5.2535466753303006E-2</v>
      </c>
      <c r="O742" s="35">
        <f t="shared" si="100"/>
        <v>6.1643835616438353E-2</v>
      </c>
      <c r="P742" s="35">
        <f t="shared" si="103"/>
        <v>9.1083688631353465E-3</v>
      </c>
    </row>
    <row r="743" spans="13:16" customFormat="1" x14ac:dyDescent="0.25">
      <c r="M743" t="s">
        <v>44</v>
      </c>
      <c r="N743" s="35">
        <f t="shared" si="99"/>
        <v>0.11663282434481265</v>
      </c>
      <c r="O743" s="35">
        <f t="shared" si="100"/>
        <v>0.15753424657534248</v>
      </c>
      <c r="P743" s="35">
        <f t="shared" si="103"/>
        <v>4.0901422230529838E-2</v>
      </c>
    </row>
    <row r="744" spans="13:16" customFormat="1" x14ac:dyDescent="0.25">
      <c r="M744" t="s">
        <v>45</v>
      </c>
      <c r="N744" s="35">
        <f t="shared" si="99"/>
        <v>0.17956600606454409</v>
      </c>
      <c r="O744" s="35">
        <f t="shared" si="100"/>
        <v>0.27397260273972607</v>
      </c>
      <c r="P744" s="35">
        <f t="shared" si="103"/>
        <v>9.4406596675181975E-2</v>
      </c>
    </row>
    <row r="745" spans="13:16" customFormat="1" x14ac:dyDescent="0.25">
      <c r="M745" t="s">
        <v>46</v>
      </c>
      <c r="N745" s="35">
        <f t="shared" si="99"/>
        <v>0.34799924193199044</v>
      </c>
      <c r="O745" s="35">
        <f t="shared" si="100"/>
        <v>0.4315068493150685</v>
      </c>
      <c r="P745" s="35">
        <f t="shared" si="103"/>
        <v>8.3507607383078053E-2</v>
      </c>
    </row>
    <row r="746" spans="13:16" customFormat="1" x14ac:dyDescent="0.25">
      <c r="M746" t="s">
        <v>47</v>
      </c>
      <c r="N746" s="35">
        <f t="shared" si="99"/>
        <v>0.53706952566601684</v>
      </c>
      <c r="O746" s="35">
        <f t="shared" si="100"/>
        <v>0.6404109589041096</v>
      </c>
      <c r="P746" s="35">
        <f t="shared" si="103"/>
        <v>0.10334143323809275</v>
      </c>
    </row>
    <row r="747" spans="13:16" customFormat="1" x14ac:dyDescent="0.25">
      <c r="M747" t="s">
        <v>48</v>
      </c>
      <c r="N747" s="35">
        <f t="shared" si="99"/>
        <v>0.74946867554689189</v>
      </c>
      <c r="O747" s="35">
        <f t="shared" si="100"/>
        <v>0.81506849315068508</v>
      </c>
      <c r="P747" s="35">
        <f t="shared" si="103"/>
        <v>6.5599817603793187E-2</v>
      </c>
    </row>
    <row r="748" spans="13:16" customFormat="1" x14ac:dyDescent="0.25">
      <c r="M748" t="s">
        <v>49</v>
      </c>
      <c r="N748" s="35">
        <f t="shared" si="99"/>
        <v>0.85597452350010828</v>
      </c>
      <c r="O748" s="35">
        <f t="shared" si="100"/>
        <v>0.90753424657534265</v>
      </c>
      <c r="P748" s="35">
        <f t="shared" si="103"/>
        <v>5.1559723075234376E-2</v>
      </c>
    </row>
    <row r="749" spans="13:16" customFormat="1" x14ac:dyDescent="0.25">
      <c r="M749" t="s">
        <v>50</v>
      </c>
      <c r="N749" s="35">
        <f t="shared" si="99"/>
        <v>0.93991160385531725</v>
      </c>
      <c r="O749" s="35">
        <f t="shared" si="100"/>
        <v>0.96575342465753455</v>
      </c>
      <c r="P749" s="35">
        <f t="shared" si="103"/>
        <v>2.5841820802217308E-2</v>
      </c>
    </row>
    <row r="750" spans="13:16" customFormat="1" x14ac:dyDescent="0.25">
      <c r="M750" t="s">
        <v>51</v>
      </c>
      <c r="N750" s="35">
        <f t="shared" si="99"/>
        <v>0.97500609161793361</v>
      </c>
      <c r="O750" s="35">
        <f t="shared" si="100"/>
        <v>0.99315068493150727</v>
      </c>
      <c r="P750" s="35">
        <f t="shared" si="103"/>
        <v>1.8144593313573654E-2</v>
      </c>
    </row>
    <row r="751" spans="13:16" customFormat="1" x14ac:dyDescent="0.25">
      <c r="M751" t="s">
        <v>52</v>
      </c>
      <c r="N751" s="35">
        <f t="shared" si="99"/>
        <v>0.99273405349794241</v>
      </c>
      <c r="O751" s="35">
        <f t="shared" si="100"/>
        <v>0.99657534246575386</v>
      </c>
      <c r="P751" s="35">
        <f t="shared" si="103"/>
        <v>3.8412889678114404E-3</v>
      </c>
    </row>
    <row r="752" spans="13:16" customFormat="1" x14ac:dyDescent="0.25">
      <c r="M752" t="s">
        <v>53</v>
      </c>
      <c r="N752" s="35">
        <f t="shared" si="99"/>
        <v>0.99480452674897102</v>
      </c>
      <c r="O752" s="35">
        <f t="shared" si="100"/>
        <v>1.0000000000000004</v>
      </c>
      <c r="P752" s="35">
        <f t="shared" si="103"/>
        <v>5.1954732510294255E-3</v>
      </c>
    </row>
    <row r="753" spans="13:23" customFormat="1" x14ac:dyDescent="0.25">
      <c r="M753" t="s">
        <v>54</v>
      </c>
      <c r="N753" s="35">
        <f t="shared" si="99"/>
        <v>1</v>
      </c>
      <c r="O753" s="35">
        <f t="shared" si="100"/>
        <v>1.0000000000000004</v>
      </c>
      <c r="P753" s="35">
        <f t="shared" si="103"/>
        <v>4.4408920985006262E-16</v>
      </c>
    </row>
    <row r="754" spans="13:23" customFormat="1" x14ac:dyDescent="0.25">
      <c r="M754" t="s">
        <v>15</v>
      </c>
      <c r="P754" s="35">
        <f>MAX(P739:P753)</f>
        <v>0.10334143323809275</v>
      </c>
    </row>
    <row r="756" spans="13:23" customFormat="1" x14ac:dyDescent="0.25">
      <c r="M756" t="s">
        <v>266</v>
      </c>
      <c r="T756" t="s">
        <v>153</v>
      </c>
    </row>
    <row r="757" spans="13:23" customFormat="1" x14ac:dyDescent="0.25">
      <c r="M757" t="s">
        <v>160</v>
      </c>
      <c r="N757" t="s">
        <v>267</v>
      </c>
      <c r="O757" t="s">
        <v>230</v>
      </c>
      <c r="P757" t="s">
        <v>39</v>
      </c>
      <c r="T757" t="s">
        <v>145</v>
      </c>
      <c r="U757" t="s">
        <v>146</v>
      </c>
      <c r="V757" t="s">
        <v>150</v>
      </c>
    </row>
    <row r="758" spans="13:23" customFormat="1" x14ac:dyDescent="0.25">
      <c r="M758" t="s">
        <v>6</v>
      </c>
      <c r="N758" s="70">
        <f>(N422+O422)/2</f>
        <v>1.232638888888889E-2</v>
      </c>
      <c r="O758" s="69">
        <f>O590</f>
        <v>1.2853035684085912E-2</v>
      </c>
      <c r="P758">
        <f t="shared" ref="P758:P765" si="104">ABS(N758-O758)</f>
        <v>5.2664679519702148E-4</v>
      </c>
      <c r="T758">
        <v>0.1</v>
      </c>
      <c r="U758">
        <v>1.22</v>
      </c>
      <c r="V758">
        <f>SQRT((T763+T764)/(T763*T764))</f>
        <v>0.11124684011100254</v>
      </c>
      <c r="W758">
        <f>PRODUCT(V758, U758)</f>
        <v>0.13572114493542309</v>
      </c>
    </row>
    <row r="759" spans="13:23" customFormat="1" x14ac:dyDescent="0.25">
      <c r="M759" t="s">
        <v>7</v>
      </c>
      <c r="N759" s="70">
        <f t="shared" ref="N759:N809" si="105">(N423+O423)/2</f>
        <v>7.9687499999999994E-2</v>
      </c>
      <c r="O759" s="69">
        <f t="shared" ref="O759:O809" si="106">O591</f>
        <v>6.1516996448503294E-2</v>
      </c>
      <c r="P759">
        <f t="shared" si="104"/>
        <v>1.81705035514967E-2</v>
      </c>
      <c r="T759">
        <v>0.05</v>
      </c>
      <c r="U759">
        <v>1.36</v>
      </c>
      <c r="W759">
        <f>V758*U759</f>
        <v>0.15129570255096347</v>
      </c>
    </row>
    <row r="760" spans="13:23" customFormat="1" x14ac:dyDescent="0.25">
      <c r="M760" t="s">
        <v>8</v>
      </c>
      <c r="N760" s="70">
        <f t="shared" si="105"/>
        <v>0.30329861111111112</v>
      </c>
      <c r="O760" s="69">
        <f t="shared" si="106"/>
        <v>0.25427025198714692</v>
      </c>
      <c r="P760">
        <f t="shared" si="104"/>
        <v>4.9028359123964194E-2</v>
      </c>
      <c r="T760">
        <v>0.01</v>
      </c>
      <c r="U760">
        <v>1.63</v>
      </c>
      <c r="W760">
        <f>V758*U760</f>
        <v>0.18133234938093412</v>
      </c>
    </row>
    <row r="761" spans="13:23" customFormat="1" x14ac:dyDescent="0.25">
      <c r="M761" t="s">
        <v>9</v>
      </c>
      <c r="N761" s="70">
        <f t="shared" si="105"/>
        <v>0.70486111111111105</v>
      </c>
      <c r="O761" s="69">
        <f t="shared" si="106"/>
        <v>0.60195755115846439</v>
      </c>
      <c r="P761">
        <f t="shared" si="104"/>
        <v>0.10290355995264666</v>
      </c>
      <c r="R761" t="s">
        <v>293</v>
      </c>
      <c r="V761" s="35">
        <f>MAX(P766, P776, P79)</f>
        <v>0.10290355995264666</v>
      </c>
    </row>
    <row r="762" spans="13:23" customFormat="1" x14ac:dyDescent="0.25">
      <c r="M762" t="s">
        <v>10</v>
      </c>
      <c r="N762" s="70">
        <f t="shared" si="105"/>
        <v>0.85920138888888886</v>
      </c>
      <c r="O762" s="69">
        <f t="shared" si="106"/>
        <v>0.77777777777777779</v>
      </c>
      <c r="P762">
        <f t="shared" si="104"/>
        <v>8.1423611111111072E-2</v>
      </c>
      <c r="T762" t="s">
        <v>147</v>
      </c>
    </row>
    <row r="763" spans="13:23" customFormat="1" x14ac:dyDescent="0.25">
      <c r="M763" t="s">
        <v>11</v>
      </c>
      <c r="N763" s="70">
        <f t="shared" si="105"/>
        <v>0.93854166666666661</v>
      </c>
      <c r="O763" s="69">
        <f t="shared" si="106"/>
        <v>0.95237189244038567</v>
      </c>
      <c r="P763">
        <f t="shared" si="104"/>
        <v>1.3830225773719063E-2</v>
      </c>
      <c r="S763" t="s">
        <v>268</v>
      </c>
      <c r="T763">
        <v>170</v>
      </c>
    </row>
    <row r="764" spans="13:23" customFormat="1" x14ac:dyDescent="0.25">
      <c r="M764" t="s">
        <v>12</v>
      </c>
      <c r="N764" s="70">
        <f t="shared" si="105"/>
        <v>0.97083333333333321</v>
      </c>
      <c r="O764" s="69">
        <f t="shared" si="106"/>
        <v>0.97841620158971754</v>
      </c>
      <c r="P764">
        <f t="shared" si="104"/>
        <v>7.582868256384323E-3</v>
      </c>
      <c r="S764" t="s">
        <v>232</v>
      </c>
      <c r="T764">
        <v>154</v>
      </c>
    </row>
    <row r="765" spans="13:23" customFormat="1" x14ac:dyDescent="0.25">
      <c r="M765" t="s">
        <v>22</v>
      </c>
      <c r="N765" s="70">
        <f t="shared" si="105"/>
        <v>1</v>
      </c>
      <c r="O765" s="69">
        <f t="shared" si="106"/>
        <v>1</v>
      </c>
      <c r="P765">
        <f t="shared" si="104"/>
        <v>0</v>
      </c>
    </row>
    <row r="766" spans="13:23" customFormat="1" x14ac:dyDescent="0.25">
      <c r="M766" t="s">
        <v>15</v>
      </c>
      <c r="N766" s="70"/>
      <c r="O766" s="69"/>
      <c r="P766">
        <f>MAX(P758:P765)</f>
        <v>0.10290355995264666</v>
      </c>
    </row>
    <row r="767" spans="13:23" customFormat="1" x14ac:dyDescent="0.25">
      <c r="M767" t="s">
        <v>161</v>
      </c>
      <c r="N767" s="70"/>
      <c r="O767" s="69"/>
    </row>
    <row r="768" spans="13:23" customFormat="1" x14ac:dyDescent="0.25">
      <c r="M768" t="s">
        <v>93</v>
      </c>
      <c r="N768" s="70">
        <f t="shared" si="105"/>
        <v>7.5347222222222232E-2</v>
      </c>
      <c r="O768" s="69">
        <f t="shared" si="106"/>
        <v>5.5153898190427868E-2</v>
      </c>
      <c r="P768">
        <f>ABS(N768-O768)</f>
        <v>2.0193324031794364E-2</v>
      </c>
    </row>
    <row r="769" spans="13:16" customFormat="1" x14ac:dyDescent="0.25">
      <c r="M769" t="s">
        <v>16</v>
      </c>
      <c r="N769" s="70">
        <f t="shared" si="105"/>
        <v>0.13229166666666667</v>
      </c>
      <c r="O769" s="69">
        <f t="shared" si="106"/>
        <v>0.11032893624217825</v>
      </c>
      <c r="P769">
        <f t="shared" ref="P769:P775" si="107">ABS(N769-O769)</f>
        <v>2.1962730424488416E-2</v>
      </c>
    </row>
    <row r="770" spans="13:16" customFormat="1" x14ac:dyDescent="0.25">
      <c r="M770" t="s">
        <v>17</v>
      </c>
      <c r="N770" s="70">
        <f t="shared" si="105"/>
        <v>0.29652777777777778</v>
      </c>
      <c r="O770" s="69">
        <f t="shared" si="106"/>
        <v>0.34660916624386945</v>
      </c>
      <c r="P770">
        <f t="shared" si="107"/>
        <v>5.008138846609167E-2</v>
      </c>
    </row>
    <row r="771" spans="13:16" customFormat="1" x14ac:dyDescent="0.25">
      <c r="M771" t="s">
        <v>18</v>
      </c>
      <c r="N771" s="70">
        <f t="shared" si="105"/>
        <v>0.49722222222222223</v>
      </c>
      <c r="O771" s="69">
        <f t="shared" si="106"/>
        <v>0.56752071706409601</v>
      </c>
      <c r="P771">
        <f t="shared" si="107"/>
        <v>7.0298494841873782E-2</v>
      </c>
    </row>
    <row r="772" spans="13:16" customFormat="1" x14ac:dyDescent="0.25">
      <c r="M772" t="s">
        <v>19</v>
      </c>
      <c r="N772" s="70">
        <f t="shared" si="105"/>
        <v>0.79305555555555551</v>
      </c>
      <c r="O772" s="69">
        <f t="shared" si="106"/>
        <v>0.81940216472179939</v>
      </c>
      <c r="P772">
        <f t="shared" si="107"/>
        <v>2.6346609166243873E-2</v>
      </c>
    </row>
    <row r="773" spans="13:16" customFormat="1" x14ac:dyDescent="0.25">
      <c r="M773" t="s">
        <v>20</v>
      </c>
      <c r="N773" s="70">
        <f t="shared" si="105"/>
        <v>0.91371527777777772</v>
      </c>
      <c r="O773" s="69">
        <f t="shared" si="106"/>
        <v>0.93660155589379335</v>
      </c>
      <c r="P773">
        <f t="shared" si="107"/>
        <v>2.2886278116015624E-2</v>
      </c>
    </row>
    <row r="774" spans="13:16" customFormat="1" x14ac:dyDescent="0.25">
      <c r="M774" t="s">
        <v>21</v>
      </c>
      <c r="N774" s="70">
        <f t="shared" si="105"/>
        <v>0.98072916666666665</v>
      </c>
      <c r="O774" s="69">
        <f t="shared" si="106"/>
        <v>0.98680872653475393</v>
      </c>
      <c r="P774">
        <f t="shared" si="107"/>
        <v>6.0795598680872809E-3</v>
      </c>
    </row>
    <row r="775" spans="13:16" customFormat="1" x14ac:dyDescent="0.25">
      <c r="M775" t="s">
        <v>23</v>
      </c>
      <c r="N775" s="70">
        <f t="shared" si="105"/>
        <v>1</v>
      </c>
      <c r="O775" s="69">
        <f t="shared" si="106"/>
        <v>1</v>
      </c>
      <c r="P775">
        <f t="shared" si="107"/>
        <v>0</v>
      </c>
    </row>
    <row r="776" spans="13:16" customFormat="1" x14ac:dyDescent="0.25">
      <c r="M776" t="s">
        <v>15</v>
      </c>
      <c r="N776" s="70"/>
      <c r="O776" s="69"/>
      <c r="P776">
        <f>MAX(P768:P775)</f>
        <v>7.0298494841873782E-2</v>
      </c>
    </row>
    <row r="777" spans="13:16" customFormat="1" x14ac:dyDescent="0.25">
      <c r="M777" t="s">
        <v>162</v>
      </c>
      <c r="N777" s="70"/>
      <c r="O777" s="69"/>
    </row>
    <row r="778" spans="13:16" customFormat="1" x14ac:dyDescent="0.25">
      <c r="M778" t="s">
        <v>24</v>
      </c>
      <c r="N778" s="70">
        <f t="shared" si="105"/>
        <v>1.5625000000000001E-3</v>
      </c>
      <c r="O778" s="69">
        <f t="shared" si="106"/>
        <v>0</v>
      </c>
      <c r="P778">
        <f>ABS(N778-O778)</f>
        <v>1.5625000000000001E-3</v>
      </c>
    </row>
    <row r="779" spans="13:16" customFormat="1" x14ac:dyDescent="0.25">
      <c r="M779" t="s">
        <v>25</v>
      </c>
      <c r="N779" s="70">
        <f t="shared" si="105"/>
        <v>9.0277777777777787E-3</v>
      </c>
      <c r="O779" s="69">
        <f t="shared" si="106"/>
        <v>6.6801961779130725E-3</v>
      </c>
      <c r="P779">
        <f t="shared" ref="P779:P792" si="108">ABS(N779-O779)</f>
        <v>2.3475815998647061E-3</v>
      </c>
    </row>
    <row r="780" spans="13:16" customFormat="1" x14ac:dyDescent="0.25">
      <c r="M780" t="s">
        <v>26</v>
      </c>
      <c r="N780" s="70">
        <f t="shared" si="105"/>
        <v>2.6388888888888889E-2</v>
      </c>
      <c r="O780" s="69">
        <f t="shared" si="106"/>
        <v>2.363436495856587E-2</v>
      </c>
      <c r="P780">
        <f t="shared" si="108"/>
        <v>2.7545239303230183E-3</v>
      </c>
    </row>
    <row r="781" spans="13:16" customFormat="1" x14ac:dyDescent="0.25">
      <c r="M781" t="s">
        <v>27</v>
      </c>
      <c r="N781" s="70">
        <f t="shared" si="105"/>
        <v>5.6423611111111105E-2</v>
      </c>
      <c r="O781" s="69">
        <f t="shared" si="106"/>
        <v>4.9678674107897849E-2</v>
      </c>
      <c r="P781">
        <f t="shared" si="108"/>
        <v>6.7449370032132555E-3</v>
      </c>
    </row>
    <row r="782" spans="13:16" customFormat="1" x14ac:dyDescent="0.25">
      <c r="M782" t="s">
        <v>28</v>
      </c>
      <c r="N782" s="70">
        <f t="shared" si="105"/>
        <v>0.12274305555555554</v>
      </c>
      <c r="O782" s="69">
        <f t="shared" si="106"/>
        <v>0.13774733637747336</v>
      </c>
      <c r="P782">
        <f t="shared" si="108"/>
        <v>1.500428082191782E-2</v>
      </c>
    </row>
    <row r="783" spans="13:16" customFormat="1" x14ac:dyDescent="0.25">
      <c r="M783" t="s">
        <v>29</v>
      </c>
      <c r="N783" s="70">
        <f t="shared" si="105"/>
        <v>0.23038194444444443</v>
      </c>
      <c r="O783" s="69">
        <f t="shared" si="106"/>
        <v>0.25219854557754107</v>
      </c>
      <c r="P783">
        <f t="shared" si="108"/>
        <v>2.1816601133096636E-2</v>
      </c>
    </row>
    <row r="784" spans="13:16" customFormat="1" x14ac:dyDescent="0.25">
      <c r="M784" t="s">
        <v>30</v>
      </c>
      <c r="N784" s="70">
        <f t="shared" si="105"/>
        <v>0.43211805555555549</v>
      </c>
      <c r="O784" s="69">
        <f t="shared" si="106"/>
        <v>0.46074327752409949</v>
      </c>
      <c r="P784">
        <f t="shared" si="108"/>
        <v>2.8625221968544001E-2</v>
      </c>
    </row>
    <row r="785" spans="13:16" customFormat="1" x14ac:dyDescent="0.25">
      <c r="M785" t="s">
        <v>31</v>
      </c>
      <c r="N785" s="70">
        <f t="shared" si="105"/>
        <v>0.8027777777777777</v>
      </c>
      <c r="O785" s="69">
        <f t="shared" si="106"/>
        <v>0.7698926095044818</v>
      </c>
      <c r="P785">
        <f t="shared" si="108"/>
        <v>3.2885168273295906E-2</v>
      </c>
    </row>
    <row r="786" spans="13:16" customFormat="1" x14ac:dyDescent="0.25">
      <c r="M786" t="s">
        <v>32</v>
      </c>
      <c r="N786" s="70">
        <f t="shared" si="105"/>
        <v>0.9248263888888888</v>
      </c>
      <c r="O786" s="69">
        <f t="shared" si="106"/>
        <v>0.87218839844410634</v>
      </c>
      <c r="P786">
        <f t="shared" si="108"/>
        <v>5.2637990444782456E-2</v>
      </c>
    </row>
    <row r="787" spans="13:16" customFormat="1" x14ac:dyDescent="0.25">
      <c r="M787" t="s">
        <v>33</v>
      </c>
      <c r="N787" s="70">
        <f t="shared" si="105"/>
        <v>0.97256944444444438</v>
      </c>
      <c r="O787" s="69">
        <f t="shared" si="106"/>
        <v>0.93078809403010332</v>
      </c>
      <c r="P787">
        <f t="shared" si="108"/>
        <v>4.1781350414341056E-2</v>
      </c>
    </row>
    <row r="788" spans="13:16" customFormat="1" x14ac:dyDescent="0.25">
      <c r="M788" t="s">
        <v>34</v>
      </c>
      <c r="N788" s="70">
        <f t="shared" si="105"/>
        <v>0.98854166666666665</v>
      </c>
      <c r="O788" s="69">
        <f t="shared" si="106"/>
        <v>0.97499154405547128</v>
      </c>
      <c r="P788">
        <f t="shared" si="108"/>
        <v>1.355012261119537E-2</v>
      </c>
    </row>
    <row r="789" spans="13:16" customFormat="1" x14ac:dyDescent="0.25">
      <c r="M789" t="s">
        <v>35</v>
      </c>
      <c r="N789" s="70">
        <f t="shared" si="105"/>
        <v>0.99583333333333324</v>
      </c>
      <c r="O789" s="69">
        <f t="shared" si="106"/>
        <v>0.99160747505496394</v>
      </c>
      <c r="P789">
        <f t="shared" si="108"/>
        <v>4.2258582783692988E-3</v>
      </c>
    </row>
    <row r="790" spans="13:16" customFormat="1" x14ac:dyDescent="0.25">
      <c r="M790" t="s">
        <v>36</v>
      </c>
      <c r="N790" s="70">
        <f t="shared" si="105"/>
        <v>0.99583333333333324</v>
      </c>
      <c r="O790" s="69">
        <f t="shared" si="106"/>
        <v>0.99486301369863051</v>
      </c>
      <c r="P790">
        <f t="shared" si="108"/>
        <v>9.7031963470273208E-4</v>
      </c>
    </row>
    <row r="791" spans="13:16" customFormat="1" x14ac:dyDescent="0.25">
      <c r="M791" t="s">
        <v>37</v>
      </c>
      <c r="N791" s="70">
        <f t="shared" si="105"/>
        <v>0.99861111111111101</v>
      </c>
      <c r="O791" s="69">
        <f t="shared" si="106"/>
        <v>0.99657534246575374</v>
      </c>
      <c r="P791">
        <f t="shared" si="108"/>
        <v>2.035768645357261E-3</v>
      </c>
    </row>
    <row r="792" spans="13:16" customFormat="1" x14ac:dyDescent="0.25">
      <c r="M792" t="s">
        <v>38</v>
      </c>
      <c r="N792" s="70">
        <f t="shared" si="105"/>
        <v>0.99999999999999989</v>
      </c>
      <c r="O792" s="69">
        <f t="shared" si="106"/>
        <v>1.0000000000000004</v>
      </c>
      <c r="P792">
        <f t="shared" si="108"/>
        <v>5.5511151231257827E-16</v>
      </c>
    </row>
    <row r="793" spans="13:16" customFormat="1" x14ac:dyDescent="0.25">
      <c r="M793" t="s">
        <v>15</v>
      </c>
      <c r="N793" s="70"/>
      <c r="O793" s="69"/>
      <c r="P793">
        <f>MAX(P778:P792)</f>
        <v>5.2637990444782456E-2</v>
      </c>
    </row>
    <row r="794" spans="13:16" customFormat="1" x14ac:dyDescent="0.25">
      <c r="M794" t="s">
        <v>163</v>
      </c>
      <c r="N794" s="70"/>
      <c r="O794" s="69"/>
    </row>
    <row r="795" spans="13:16" customFormat="1" x14ac:dyDescent="0.25">
      <c r="M795" t="s">
        <v>40</v>
      </c>
      <c r="N795" s="70">
        <f t="shared" si="105"/>
        <v>1.579861111111111E-2</v>
      </c>
      <c r="O795" s="69">
        <f t="shared" si="106"/>
        <v>8.3925249450363601E-3</v>
      </c>
      <c r="P795">
        <f>ABS(N795-O795)</f>
        <v>7.4060861660747504E-3</v>
      </c>
    </row>
    <row r="796" spans="13:16" customFormat="1" x14ac:dyDescent="0.25">
      <c r="M796" t="s">
        <v>41</v>
      </c>
      <c r="N796" s="70">
        <f t="shared" si="105"/>
        <v>2.465277777777778E-2</v>
      </c>
      <c r="O796" s="69">
        <f t="shared" si="106"/>
        <v>1.1648063588702857E-2</v>
      </c>
      <c r="P796">
        <f t="shared" ref="P796:P809" si="109">ABS(N796-O796)</f>
        <v>1.3004714189074923E-2</v>
      </c>
    </row>
    <row r="797" spans="13:16" customFormat="1" x14ac:dyDescent="0.25">
      <c r="M797" t="s">
        <v>42</v>
      </c>
      <c r="N797" s="70">
        <f t="shared" si="105"/>
        <v>4.0972222222222222E-2</v>
      </c>
      <c r="O797" s="69">
        <f t="shared" si="106"/>
        <v>2.6213428039912057E-2</v>
      </c>
      <c r="P797">
        <f t="shared" si="109"/>
        <v>1.4758794182310166E-2</v>
      </c>
    </row>
    <row r="798" spans="13:16" customFormat="1" x14ac:dyDescent="0.25">
      <c r="M798" t="s">
        <v>43</v>
      </c>
      <c r="N798" s="70">
        <f t="shared" si="105"/>
        <v>6.0763888888888895E-2</v>
      </c>
      <c r="O798" s="69">
        <f t="shared" si="106"/>
        <v>5.5513275832910533E-2</v>
      </c>
      <c r="P798">
        <f t="shared" si="109"/>
        <v>5.250613055978362E-3</v>
      </c>
    </row>
    <row r="799" spans="13:16" customFormat="1" x14ac:dyDescent="0.25">
      <c r="M799" t="s">
        <v>44</v>
      </c>
      <c r="N799" s="70">
        <f t="shared" si="105"/>
        <v>0.12534722222222222</v>
      </c>
      <c r="O799" s="69">
        <f t="shared" si="106"/>
        <v>0.14203872822594285</v>
      </c>
      <c r="P799">
        <f t="shared" si="109"/>
        <v>1.669150600372063E-2</v>
      </c>
    </row>
    <row r="800" spans="13:16" customFormat="1" x14ac:dyDescent="0.25">
      <c r="M800" t="s">
        <v>45</v>
      </c>
      <c r="N800" s="70">
        <f t="shared" si="105"/>
        <v>0.21909722222222222</v>
      </c>
      <c r="O800" s="69">
        <f t="shared" si="106"/>
        <v>0.24038136309825808</v>
      </c>
      <c r="P800">
        <f t="shared" si="109"/>
        <v>2.1284140876035862E-2</v>
      </c>
    </row>
    <row r="801" spans="13:16" customFormat="1" x14ac:dyDescent="0.25">
      <c r="M801" t="s">
        <v>46</v>
      </c>
      <c r="N801" s="70">
        <f t="shared" si="105"/>
        <v>0.36527777777777781</v>
      </c>
      <c r="O801" s="69">
        <f t="shared" si="106"/>
        <v>0.41637070860815151</v>
      </c>
      <c r="P801">
        <f t="shared" si="109"/>
        <v>5.1092930830373695E-2</v>
      </c>
    </row>
    <row r="802" spans="13:16" customFormat="1" x14ac:dyDescent="0.25">
      <c r="M802" t="s">
        <v>47</v>
      </c>
      <c r="N802" s="70">
        <f t="shared" si="105"/>
        <v>0.52222222222222214</v>
      </c>
      <c r="O802" s="69">
        <f t="shared" si="106"/>
        <v>0.63502029426686957</v>
      </c>
      <c r="P802">
        <f t="shared" si="109"/>
        <v>0.11279807204464742</v>
      </c>
    </row>
    <row r="803" spans="13:16" customFormat="1" x14ac:dyDescent="0.25">
      <c r="M803" t="s">
        <v>48</v>
      </c>
      <c r="N803" s="70">
        <f t="shared" si="105"/>
        <v>0.73211805555555554</v>
      </c>
      <c r="O803" s="69">
        <f t="shared" si="106"/>
        <v>0.81339844410620676</v>
      </c>
      <c r="P803">
        <f t="shared" si="109"/>
        <v>8.1280388550651228E-2</v>
      </c>
    </row>
    <row r="804" spans="13:16" customFormat="1" x14ac:dyDescent="0.25">
      <c r="M804" t="s">
        <v>49</v>
      </c>
      <c r="N804" s="70">
        <f t="shared" si="105"/>
        <v>0.84531249999999991</v>
      </c>
      <c r="O804" s="69">
        <f t="shared" si="106"/>
        <v>0.90129798748520218</v>
      </c>
      <c r="P804">
        <f t="shared" si="109"/>
        <v>5.5985487485202268E-2</v>
      </c>
    </row>
    <row r="805" spans="13:16" customFormat="1" x14ac:dyDescent="0.25">
      <c r="M805" t="s">
        <v>50</v>
      </c>
      <c r="N805" s="70">
        <f t="shared" si="105"/>
        <v>0.92934027777777761</v>
      </c>
      <c r="O805" s="69">
        <f t="shared" si="106"/>
        <v>0.95664214442753259</v>
      </c>
      <c r="P805">
        <f t="shared" si="109"/>
        <v>2.730186664975498E-2</v>
      </c>
    </row>
    <row r="806" spans="13:16" customFormat="1" x14ac:dyDescent="0.25">
      <c r="M806" t="s">
        <v>51</v>
      </c>
      <c r="N806" s="70">
        <f t="shared" si="105"/>
        <v>0.95885416666666656</v>
      </c>
      <c r="O806" s="69">
        <f t="shared" si="106"/>
        <v>0.98268645357686468</v>
      </c>
      <c r="P806">
        <f t="shared" si="109"/>
        <v>2.3832286910198119E-2</v>
      </c>
    </row>
    <row r="807" spans="13:16" customFormat="1" x14ac:dyDescent="0.25">
      <c r="M807" t="s">
        <v>52</v>
      </c>
      <c r="N807" s="70">
        <f t="shared" si="105"/>
        <v>0.98802083333333324</v>
      </c>
      <c r="O807" s="69">
        <f t="shared" si="106"/>
        <v>0.99520125147979044</v>
      </c>
      <c r="P807">
        <f t="shared" si="109"/>
        <v>7.1804181464572014E-3</v>
      </c>
    </row>
    <row r="808" spans="13:16" customFormat="1" x14ac:dyDescent="0.25">
      <c r="M808" t="s">
        <v>53</v>
      </c>
      <c r="N808" s="70">
        <f t="shared" si="105"/>
        <v>0.99236111111111103</v>
      </c>
      <c r="O808" s="69">
        <f t="shared" si="106"/>
        <v>0.99845679012345689</v>
      </c>
      <c r="P808">
        <f t="shared" si="109"/>
        <v>6.0956790123458671E-3</v>
      </c>
    </row>
    <row r="809" spans="13:16" customFormat="1" x14ac:dyDescent="0.25">
      <c r="M809" t="s">
        <v>54</v>
      </c>
      <c r="N809" s="70">
        <f t="shared" si="105"/>
        <v>0.99999999999999989</v>
      </c>
      <c r="O809" s="69">
        <f t="shared" si="106"/>
        <v>1.0000000000000002</v>
      </c>
      <c r="P809">
        <f t="shared" si="109"/>
        <v>3.3306690738754696E-16</v>
      </c>
    </row>
    <row r="810" spans="13:16" customFormat="1" x14ac:dyDescent="0.25">
      <c r="M810" t="s">
        <v>15</v>
      </c>
      <c r="P810">
        <f>MAX(P795:P809)</f>
        <v>0.11279807204464742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N14" sqref="N14"/>
    </sheetView>
  </sheetViews>
  <sheetFormatPr defaultRowHeight="15" x14ac:dyDescent="0.25"/>
  <cols>
    <col min="1" max="1" width="23.7109375" customWidth="1"/>
    <col min="2" max="2" width="12.85546875" customWidth="1"/>
    <col min="3" max="3" width="18.28515625" customWidth="1"/>
    <col min="4" max="4" width="14" customWidth="1"/>
  </cols>
  <sheetData>
    <row r="1" spans="1:4" ht="18" x14ac:dyDescent="0.35">
      <c r="A1" s="44" t="s">
        <v>271</v>
      </c>
      <c r="B1" t="s">
        <v>272</v>
      </c>
      <c r="C1" t="s">
        <v>273</v>
      </c>
      <c r="D1" t="s">
        <v>240</v>
      </c>
    </row>
    <row r="2" spans="1:4" x14ac:dyDescent="0.25">
      <c r="A2" t="s">
        <v>217</v>
      </c>
      <c r="B2">
        <v>19.899999999999999</v>
      </c>
      <c r="C2">
        <v>10.9</v>
      </c>
      <c r="D2">
        <v>11.8</v>
      </c>
    </row>
    <row r="3" spans="1:4" x14ac:dyDescent="0.25">
      <c r="A3" t="s">
        <v>118</v>
      </c>
      <c r="B3">
        <v>33</v>
      </c>
      <c r="C3">
        <v>27.1</v>
      </c>
      <c r="D3" s="64">
        <v>27.5</v>
      </c>
    </row>
    <row r="4" spans="1:4" x14ac:dyDescent="0.25">
      <c r="A4" t="s">
        <v>119</v>
      </c>
      <c r="B4">
        <v>44.9</v>
      </c>
      <c r="C4">
        <v>44.4</v>
      </c>
      <c r="D4">
        <v>43</v>
      </c>
    </row>
    <row r="5" spans="1:4" x14ac:dyDescent="0.25">
      <c r="A5" t="s">
        <v>120</v>
      </c>
      <c r="B5">
        <v>63</v>
      </c>
      <c r="C5" s="71">
        <v>45</v>
      </c>
      <c r="D5" s="71">
        <v>34</v>
      </c>
    </row>
    <row r="6" spans="1:4" x14ac:dyDescent="0.25">
      <c r="A6" t="s">
        <v>76</v>
      </c>
      <c r="B6">
        <v>47.8</v>
      </c>
      <c r="C6">
        <v>33.299999999999997</v>
      </c>
      <c r="D6">
        <v>20.9</v>
      </c>
    </row>
    <row r="7" spans="1:4" x14ac:dyDescent="0.25">
      <c r="A7" t="s">
        <v>137</v>
      </c>
      <c r="B7">
        <v>3.8</v>
      </c>
      <c r="C7">
        <v>10.5</v>
      </c>
      <c r="D7">
        <v>19.3</v>
      </c>
    </row>
    <row r="8" spans="1:4" x14ac:dyDescent="0.25">
      <c r="A8" t="s">
        <v>138</v>
      </c>
      <c r="B8">
        <v>10.6</v>
      </c>
      <c r="C8">
        <v>22.3</v>
      </c>
      <c r="D8">
        <v>32.700000000000003</v>
      </c>
    </row>
    <row r="11" spans="1:4" ht="18" x14ac:dyDescent="0.35">
      <c r="A11" t="s">
        <v>244</v>
      </c>
      <c r="B11" t="s">
        <v>243</v>
      </c>
      <c r="C11" t="s">
        <v>218</v>
      </c>
      <c r="D11" t="s">
        <v>242</v>
      </c>
    </row>
    <row r="12" spans="1:4" x14ac:dyDescent="0.25">
      <c r="A12" t="s">
        <v>245</v>
      </c>
      <c r="B12">
        <v>0.08</v>
      </c>
      <c r="C12">
        <v>0.12</v>
      </c>
      <c r="D12">
        <v>0.24</v>
      </c>
    </row>
    <row r="13" spans="1:4" x14ac:dyDescent="0.25">
      <c r="A13" t="s">
        <v>246</v>
      </c>
      <c r="B13">
        <v>0.22</v>
      </c>
      <c r="C13">
        <v>0.22</v>
      </c>
      <c r="D13">
        <v>0.28000000000000003</v>
      </c>
    </row>
    <row r="14" spans="1:4" x14ac:dyDescent="0.25">
      <c r="A14" t="s">
        <v>247</v>
      </c>
      <c r="B14">
        <v>0.32</v>
      </c>
      <c r="C14">
        <v>0.32</v>
      </c>
      <c r="D14">
        <v>0.35</v>
      </c>
    </row>
    <row r="15" spans="1:4" ht="15.75" thickBot="1" x14ac:dyDescent="0.3">
      <c r="A15" t="s">
        <v>248</v>
      </c>
      <c r="B15">
        <v>3.2000000000000001E-2</v>
      </c>
      <c r="C15">
        <v>3.3000000000000002E-2</v>
      </c>
      <c r="D15">
        <v>7.5999999999999998E-2</v>
      </c>
    </row>
    <row r="16" spans="1:4" ht="15.75" thickBot="1" x14ac:dyDescent="0.3">
      <c r="A16" s="65" t="s">
        <v>263</v>
      </c>
      <c r="B16" s="66"/>
      <c r="C16" s="66"/>
      <c r="D16" s="66"/>
    </row>
    <row r="17" spans="1:4" ht="15.75" thickBot="1" x14ac:dyDescent="0.3">
      <c r="A17" s="67" t="s">
        <v>264</v>
      </c>
      <c r="B17" s="68">
        <v>0.08</v>
      </c>
      <c r="C17" s="68">
        <v>7.0000000000000007E-2</v>
      </c>
      <c r="D17" s="68">
        <v>0.05</v>
      </c>
    </row>
    <row r="18" spans="1:4" ht="15.75" thickBot="1" x14ac:dyDescent="0.3">
      <c r="A18" s="67" t="s">
        <v>265</v>
      </c>
      <c r="B18" s="68">
        <v>7.0000000000000007E-2</v>
      </c>
      <c r="C18" s="68">
        <v>0.02</v>
      </c>
      <c r="D18" s="68">
        <v>7.0000000000000007E-2</v>
      </c>
    </row>
    <row r="19" spans="1:4" x14ac:dyDescent="0.25">
      <c r="C19" t="s">
        <v>219</v>
      </c>
    </row>
    <row r="53" spans="1:5" ht="15.75" thickBot="1" x14ac:dyDescent="0.3"/>
    <row r="54" spans="1:5" ht="48" thickBot="1" x14ac:dyDescent="0.3">
      <c r="A54" s="57" t="s">
        <v>215</v>
      </c>
      <c r="B54" s="58" t="s">
        <v>167</v>
      </c>
      <c r="C54" s="58" t="s">
        <v>166</v>
      </c>
      <c r="D54" s="58" t="s">
        <v>165</v>
      </c>
      <c r="E54" s="62" t="s">
        <v>262</v>
      </c>
    </row>
    <row r="55" spans="1:5" ht="15.75" thickBot="1" x14ac:dyDescent="0.3">
      <c r="A55" s="59">
        <v>9</v>
      </c>
      <c r="B55" s="60">
        <v>6</v>
      </c>
      <c r="C55" s="60">
        <v>16</v>
      </c>
      <c r="D55" s="60">
        <v>3</v>
      </c>
      <c r="E55" s="36" t="e">
        <f>A55*(A$66/400)+D55*(D$66/400)+C55*(C$66/400)+B55*(B$66/400)+#REF!*(#REF!/400)</f>
        <v>#REF!</v>
      </c>
    </row>
    <row r="56" spans="1:5" ht="15.75" thickBot="1" x14ac:dyDescent="0.3">
      <c r="A56" s="59">
        <v>4</v>
      </c>
      <c r="B56" s="60">
        <v>6</v>
      </c>
      <c r="C56" s="60">
        <v>9</v>
      </c>
      <c r="D56" s="60">
        <v>15</v>
      </c>
      <c r="E56" s="36" t="e">
        <f>A56*(A$66/400)+D56*(D$66/400)+C56*(C$66/400)+B56*(B$66/400)+#REF!*(#REF!/400)</f>
        <v>#REF!</v>
      </c>
    </row>
    <row r="57" spans="1:5" ht="15.75" thickBot="1" x14ac:dyDescent="0.3">
      <c r="A57" s="59">
        <v>12</v>
      </c>
      <c r="B57" s="60">
        <v>8</v>
      </c>
      <c r="C57" s="60">
        <v>9</v>
      </c>
      <c r="D57" s="60">
        <v>9</v>
      </c>
      <c r="E57" s="36" t="e">
        <f>A57*(A$66/400)+D57*(D$66/400)+C57*(C$66/400)+B57*(B$66/400)+#REF!*(#REF!/400)</f>
        <v>#REF!</v>
      </c>
    </row>
    <row r="58" spans="1:5" ht="15.75" thickBot="1" x14ac:dyDescent="0.3">
      <c r="A58" s="61">
        <v>17</v>
      </c>
      <c r="B58" s="60">
        <v>10</v>
      </c>
      <c r="C58" s="60">
        <v>19</v>
      </c>
      <c r="D58" s="60">
        <v>15</v>
      </c>
      <c r="E58" s="36" t="e">
        <f>A58*(A$66/400)+D58*(D$66/400)+C58*(C$66/400)+B58*(B$66/400)+#REF!*(#REF!/400)</f>
        <v>#REF!</v>
      </c>
    </row>
    <row r="59" spans="1:5" ht="15.75" thickBot="1" x14ac:dyDescent="0.3">
      <c r="A59" s="61">
        <v>13</v>
      </c>
      <c r="B59" s="60">
        <v>26</v>
      </c>
      <c r="C59" s="60">
        <v>18</v>
      </c>
      <c r="D59" s="60">
        <v>16</v>
      </c>
      <c r="E59" s="36" t="e">
        <f>A59*(A$66/400)+D59*(D$66/400)+C59*(C$66/400)+B59*(B$66/400)+#REF!*(#REF!/400)</f>
        <v>#REF!</v>
      </c>
    </row>
    <row r="60" spans="1:5" ht="15.75" thickBot="1" x14ac:dyDescent="0.3">
      <c r="A60" s="61">
        <v>21</v>
      </c>
      <c r="B60" s="60">
        <v>8</v>
      </c>
      <c r="C60" s="60">
        <v>9</v>
      </c>
      <c r="D60" s="60">
        <v>11</v>
      </c>
      <c r="E60" s="36" t="e">
        <f>A60*(A$66/400)+D60*(D$66/400)+C60*(C$66/400)+B60*(B$66/400)+#REF!*(#REF!/400)</f>
        <v>#REF!</v>
      </c>
    </row>
    <row r="61" spans="1:5" ht="15.75" thickBot="1" x14ac:dyDescent="0.3">
      <c r="A61" s="61">
        <v>15</v>
      </c>
      <c r="B61" s="60">
        <v>11</v>
      </c>
      <c r="C61" s="60">
        <v>8</v>
      </c>
      <c r="D61" s="60">
        <v>8</v>
      </c>
      <c r="E61" s="36" t="e">
        <f>A61*(A$66/400)+D61*(D$66/400)+C61*(C$66/400)+B61*(B$66/400)+#REF!*(#REF!/400)</f>
        <v>#REF!</v>
      </c>
    </row>
    <row r="62" spans="1:5" ht="15.75" thickBot="1" x14ac:dyDescent="0.3">
      <c r="A62" s="61">
        <v>4</v>
      </c>
      <c r="B62" s="60">
        <v>6</v>
      </c>
      <c r="C62" s="60">
        <v>1</v>
      </c>
      <c r="D62" s="60">
        <v>6</v>
      </c>
      <c r="E62" s="36" t="e">
        <f>A62*(A$66/400)+D62*(D$66/400)+C62*(C$66/400)+B62*(B$66/400)+#REF!*(#REF!/400)</f>
        <v>#REF!</v>
      </c>
    </row>
    <row r="63" spans="1:5" ht="15.75" thickBot="1" x14ac:dyDescent="0.3">
      <c r="A63" s="61">
        <v>3</v>
      </c>
      <c r="B63" s="60">
        <v>8</v>
      </c>
      <c r="C63" s="60">
        <v>2</v>
      </c>
      <c r="D63" s="60">
        <v>8</v>
      </c>
      <c r="E63" s="36" t="e">
        <f>A63*(A$66/400)+D63*(D$66/400)+C63*(C$66/400)+B63*(B$66/400)+#REF!*(#REF!/400)</f>
        <v>#REF!</v>
      </c>
    </row>
    <row r="64" spans="1:5" ht="15.75" thickBot="1" x14ac:dyDescent="0.3">
      <c r="A64" s="61">
        <v>0</v>
      </c>
      <c r="B64" s="60">
        <v>4</v>
      </c>
      <c r="C64" s="60">
        <v>3</v>
      </c>
      <c r="D64" s="60">
        <v>4</v>
      </c>
      <c r="E64" s="36" t="e">
        <f>A64*(A$66/400)+D64*(D$66/400)+C64*(C$66/400)+B64*(B$66/400)+#REF!*(#REF!/400)</f>
        <v>#REF!</v>
      </c>
    </row>
    <row r="65" spans="1:5" ht="15.75" thickBot="1" x14ac:dyDescent="0.3">
      <c r="A65" s="61">
        <v>3</v>
      </c>
      <c r="B65" s="60">
        <v>8</v>
      </c>
      <c r="C65" s="60">
        <v>7</v>
      </c>
      <c r="D65" s="60">
        <v>6</v>
      </c>
      <c r="E65" s="36" t="e">
        <f>A65*(A$66/400)+D65*(D$66/400)+C65*(C$66/400)+B65*(B$66/400)+#REF!*(#REF!/400)</f>
        <v>#REF!</v>
      </c>
    </row>
    <row r="66" spans="1:5" ht="15.75" thickBot="1" x14ac:dyDescent="0.3">
      <c r="A66" s="61">
        <v>76</v>
      </c>
      <c r="B66" s="60">
        <v>73</v>
      </c>
      <c r="C66" s="60">
        <v>90</v>
      </c>
      <c r="D66" s="60">
        <v>80</v>
      </c>
      <c r="E66" s="63">
        <v>400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4"/>
  <sheetViews>
    <sheetView topLeftCell="D142" workbookViewId="0">
      <selection activeCell="W142" sqref="W142"/>
    </sheetView>
  </sheetViews>
  <sheetFormatPr defaultRowHeight="15" x14ac:dyDescent="0.25"/>
  <sheetData>
    <row r="1" spans="1:21" x14ac:dyDescent="0.25">
      <c r="A1" s="1" t="s">
        <v>297</v>
      </c>
      <c r="J1" s="4" t="s">
        <v>58</v>
      </c>
      <c r="K1" s="4" t="s">
        <v>90</v>
      </c>
    </row>
    <row r="2" spans="1:21" x14ac:dyDescent="0.25">
      <c r="A2" s="1" t="s">
        <v>61</v>
      </c>
      <c r="J2" s="4"/>
      <c r="K2" s="4"/>
    </row>
    <row r="3" spans="1:21" x14ac:dyDescent="0.25">
      <c r="A3" s="2" t="s">
        <v>55</v>
      </c>
      <c r="B3">
        <v>1</v>
      </c>
      <c r="C3">
        <v>6</v>
      </c>
      <c r="D3">
        <v>1</v>
      </c>
      <c r="E3">
        <v>12</v>
      </c>
      <c r="F3">
        <v>8</v>
      </c>
      <c r="G3">
        <v>4</v>
      </c>
      <c r="H3">
        <v>1</v>
      </c>
      <c r="I3">
        <v>8</v>
      </c>
      <c r="J3" s="46">
        <v>41</v>
      </c>
      <c r="K3" s="12">
        <f>J3/J$11</f>
        <v>9.3181818181818185E-2</v>
      </c>
    </row>
    <row r="4" spans="1:21" x14ac:dyDescent="0.25">
      <c r="A4" s="3" t="s">
        <v>56</v>
      </c>
      <c r="B4">
        <v>0</v>
      </c>
      <c r="C4">
        <v>6</v>
      </c>
      <c r="D4">
        <v>6</v>
      </c>
      <c r="E4">
        <v>8</v>
      </c>
      <c r="F4">
        <v>5</v>
      </c>
      <c r="G4">
        <v>3</v>
      </c>
      <c r="H4">
        <v>6</v>
      </c>
      <c r="I4">
        <v>2</v>
      </c>
      <c r="J4" s="46">
        <v>36</v>
      </c>
      <c r="K4" s="12">
        <f t="shared" ref="K4:K10" si="0">J4/J$11</f>
        <v>8.1818181818181818E-2</v>
      </c>
    </row>
    <row r="5" spans="1:21" x14ac:dyDescent="0.25">
      <c r="A5" t="s">
        <v>57</v>
      </c>
      <c r="B5">
        <v>0</v>
      </c>
      <c r="C5">
        <v>2</v>
      </c>
      <c r="D5">
        <v>18</v>
      </c>
      <c r="E5">
        <v>15</v>
      </c>
      <c r="F5">
        <v>16</v>
      </c>
      <c r="G5">
        <v>26</v>
      </c>
      <c r="H5">
        <v>4</v>
      </c>
      <c r="I5">
        <v>3</v>
      </c>
      <c r="J5" s="46">
        <v>84</v>
      </c>
      <c r="K5" s="12">
        <f t="shared" si="0"/>
        <v>0.19090909090909092</v>
      </c>
    </row>
    <row r="6" spans="1:21" x14ac:dyDescent="0.25">
      <c r="A6" t="s">
        <v>59</v>
      </c>
      <c r="B6">
        <v>1</v>
      </c>
      <c r="C6">
        <v>6</v>
      </c>
      <c r="D6">
        <v>12</v>
      </c>
      <c r="E6">
        <v>27</v>
      </c>
      <c r="F6">
        <v>17</v>
      </c>
      <c r="G6">
        <v>11</v>
      </c>
      <c r="H6">
        <v>4</v>
      </c>
      <c r="I6">
        <v>0</v>
      </c>
      <c r="J6" s="46">
        <v>78</v>
      </c>
      <c r="K6" s="12">
        <f t="shared" si="0"/>
        <v>0.17727272727272728</v>
      </c>
    </row>
    <row r="7" spans="1:21" x14ac:dyDescent="0.25">
      <c r="A7" t="s">
        <v>60</v>
      </c>
      <c r="B7">
        <v>2</v>
      </c>
      <c r="C7">
        <v>3</v>
      </c>
      <c r="D7">
        <v>20</v>
      </c>
      <c r="E7">
        <v>32</v>
      </c>
      <c r="F7">
        <v>16</v>
      </c>
      <c r="G7">
        <v>16</v>
      </c>
      <c r="H7">
        <v>6</v>
      </c>
      <c r="I7">
        <v>3</v>
      </c>
      <c r="J7" s="46">
        <v>98</v>
      </c>
      <c r="K7" s="12">
        <f t="shared" si="0"/>
        <v>0.22272727272727272</v>
      </c>
    </row>
    <row r="8" spans="1:21" x14ac:dyDescent="0.25">
      <c r="A8" t="s">
        <v>62</v>
      </c>
      <c r="B8">
        <v>0</v>
      </c>
      <c r="C8">
        <v>4</v>
      </c>
      <c r="D8">
        <v>11</v>
      </c>
      <c r="E8">
        <v>9</v>
      </c>
      <c r="F8">
        <v>9</v>
      </c>
      <c r="G8">
        <v>9</v>
      </c>
      <c r="H8">
        <v>3</v>
      </c>
      <c r="I8">
        <v>1</v>
      </c>
      <c r="J8" s="46">
        <v>46</v>
      </c>
      <c r="K8" s="12">
        <f t="shared" si="0"/>
        <v>0.10454545454545454</v>
      </c>
    </row>
    <row r="9" spans="1:21" x14ac:dyDescent="0.25">
      <c r="A9" t="s">
        <v>63</v>
      </c>
      <c r="B9">
        <v>2</v>
      </c>
      <c r="C9">
        <v>6</v>
      </c>
      <c r="D9">
        <v>8</v>
      </c>
      <c r="E9">
        <v>12</v>
      </c>
      <c r="F9">
        <v>2</v>
      </c>
      <c r="G9">
        <v>7</v>
      </c>
      <c r="H9">
        <v>1</v>
      </c>
      <c r="I9">
        <v>1</v>
      </c>
      <c r="J9" s="46">
        <v>39</v>
      </c>
      <c r="K9" s="12">
        <f t="shared" si="0"/>
        <v>8.8636363636363638E-2</v>
      </c>
    </row>
    <row r="10" spans="1:21" x14ac:dyDescent="0.25">
      <c r="A10" t="s">
        <v>64</v>
      </c>
      <c r="B10">
        <v>1</v>
      </c>
      <c r="C10">
        <v>1</v>
      </c>
      <c r="D10">
        <v>1</v>
      </c>
      <c r="E10">
        <v>4</v>
      </c>
      <c r="F10">
        <v>2</v>
      </c>
      <c r="G10">
        <v>0</v>
      </c>
      <c r="H10">
        <v>3</v>
      </c>
      <c r="I10">
        <v>6</v>
      </c>
      <c r="J10" s="46">
        <v>18</v>
      </c>
      <c r="K10" s="12">
        <f t="shared" si="0"/>
        <v>4.0909090909090909E-2</v>
      </c>
    </row>
    <row r="11" spans="1:21" x14ac:dyDescent="0.25">
      <c r="A11" s="5" t="s">
        <v>65</v>
      </c>
      <c r="B11" s="45">
        <v>7</v>
      </c>
      <c r="C11" s="45">
        <v>34</v>
      </c>
      <c r="D11" s="45">
        <v>77</v>
      </c>
      <c r="E11" s="45">
        <v>119</v>
      </c>
      <c r="F11" s="45">
        <v>75</v>
      </c>
      <c r="G11" s="45">
        <v>76</v>
      </c>
      <c r="H11" s="45">
        <v>28</v>
      </c>
      <c r="I11" s="45">
        <v>24</v>
      </c>
      <c r="J11" s="46">
        <v>440</v>
      </c>
      <c r="K11" s="4"/>
    </row>
    <row r="12" spans="1:21" x14ac:dyDescent="0.25">
      <c r="A12" s="5" t="s">
        <v>91</v>
      </c>
      <c r="B12" s="13">
        <f>B11/$J$11</f>
        <v>1.5909090909090907E-2</v>
      </c>
      <c r="C12" s="13">
        <f t="shared" ref="C12:I12" si="1">C11/$J$11</f>
        <v>7.7272727272727271E-2</v>
      </c>
      <c r="D12" s="13">
        <f t="shared" si="1"/>
        <v>0.17499999999999999</v>
      </c>
      <c r="E12" s="13">
        <f t="shared" si="1"/>
        <v>0.27045454545454545</v>
      </c>
      <c r="F12" s="13">
        <f t="shared" si="1"/>
        <v>0.17045454545454544</v>
      </c>
      <c r="G12" s="13">
        <f t="shared" si="1"/>
        <v>0.17272727272727273</v>
      </c>
      <c r="H12" s="13">
        <f t="shared" si="1"/>
        <v>6.363636363636363E-2</v>
      </c>
      <c r="I12" s="13">
        <f t="shared" si="1"/>
        <v>5.4545454545454543E-2</v>
      </c>
      <c r="J12" s="19">
        <f>SUM(B12:I12)</f>
        <v>0.99999999999999989</v>
      </c>
      <c r="K12" s="4"/>
    </row>
    <row r="13" spans="1:21" x14ac:dyDescent="0.25">
      <c r="A13" s="5" t="s">
        <v>88</v>
      </c>
      <c r="B13" s="6" t="s">
        <v>64</v>
      </c>
      <c r="C13" s="6" t="s">
        <v>63</v>
      </c>
      <c r="D13" s="6" t="s">
        <v>62</v>
      </c>
      <c r="E13" s="6" t="s">
        <v>60</v>
      </c>
      <c r="F13" s="6" t="s">
        <v>59</v>
      </c>
      <c r="G13" s="6" t="s">
        <v>57</v>
      </c>
      <c r="H13" s="6" t="s">
        <v>89</v>
      </c>
      <c r="I13" s="6" t="s">
        <v>55</v>
      </c>
      <c r="J13" s="4"/>
      <c r="K13" s="4"/>
    </row>
    <row r="14" spans="1:21" x14ac:dyDescent="0.25">
      <c r="A14" s="8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M14" s="8"/>
      <c r="N14" s="7"/>
      <c r="O14" s="7"/>
      <c r="P14" s="7"/>
    </row>
    <row r="15" spans="1:21" x14ac:dyDescent="0.25">
      <c r="A15" s="1" t="s">
        <v>61</v>
      </c>
      <c r="J15" s="4"/>
      <c r="K15" s="4"/>
      <c r="M15" s="1"/>
    </row>
    <row r="16" spans="1:21" x14ac:dyDescent="0.25">
      <c r="A16" s="2" t="s">
        <v>55</v>
      </c>
      <c r="B16" s="47">
        <f>B3/$J$11</f>
        <v>2.2727272727272726E-3</v>
      </c>
      <c r="C16" s="47">
        <f t="shared" ref="C16:I16" si="2">C3/$J$11</f>
        <v>1.3636363636363636E-2</v>
      </c>
      <c r="D16" s="47">
        <f t="shared" si="2"/>
        <v>2.2727272727272726E-3</v>
      </c>
      <c r="E16" s="47">
        <f t="shared" si="2"/>
        <v>2.7272727272727271E-2</v>
      </c>
      <c r="F16" s="47">
        <f t="shared" si="2"/>
        <v>1.8181818181818181E-2</v>
      </c>
      <c r="G16" s="47">
        <f t="shared" si="2"/>
        <v>9.0909090909090905E-3</v>
      </c>
      <c r="H16" s="47">
        <f t="shared" si="2"/>
        <v>2.2727272727272726E-3</v>
      </c>
      <c r="I16" s="47">
        <f t="shared" si="2"/>
        <v>1.8181818181818181E-2</v>
      </c>
      <c r="J16" s="48">
        <f>SUM(B16:I16)</f>
        <v>9.3181818181818171E-2</v>
      </c>
      <c r="K16" s="12"/>
      <c r="M16" s="2"/>
      <c r="N16" s="20"/>
      <c r="O16" s="20"/>
      <c r="P16" s="20"/>
      <c r="Q16" s="20"/>
      <c r="R16" s="20"/>
      <c r="S16" s="20"/>
      <c r="T16" s="20"/>
      <c r="U16" s="20"/>
    </row>
    <row r="17" spans="1:22" x14ac:dyDescent="0.25">
      <c r="A17" s="3" t="s">
        <v>56</v>
      </c>
      <c r="B17" s="47">
        <f t="shared" ref="B17:I23" si="3">B4/$J$11</f>
        <v>0</v>
      </c>
      <c r="C17" s="47">
        <f t="shared" si="3"/>
        <v>1.3636363636363636E-2</v>
      </c>
      <c r="D17" s="47">
        <f t="shared" si="3"/>
        <v>1.3636363636363636E-2</v>
      </c>
      <c r="E17" s="47">
        <f t="shared" si="3"/>
        <v>1.8181818181818181E-2</v>
      </c>
      <c r="F17" s="47">
        <f t="shared" si="3"/>
        <v>1.1363636363636364E-2</v>
      </c>
      <c r="G17" s="47">
        <f t="shared" si="3"/>
        <v>6.8181818181818179E-3</v>
      </c>
      <c r="H17" s="47">
        <f t="shared" si="3"/>
        <v>1.3636363636363636E-2</v>
      </c>
      <c r="I17" s="47">
        <f t="shared" si="3"/>
        <v>4.5454545454545452E-3</v>
      </c>
      <c r="J17" s="48">
        <f t="shared" ref="J17:J23" si="4">SUM(B17:I17)</f>
        <v>8.1818181818181832E-2</v>
      </c>
      <c r="K17" s="12"/>
      <c r="M17" s="3"/>
      <c r="N17" s="20"/>
      <c r="O17" s="20"/>
      <c r="P17" s="20"/>
      <c r="Q17" s="20"/>
      <c r="R17" s="20"/>
      <c r="S17" s="20"/>
      <c r="T17" s="20"/>
      <c r="U17" s="20"/>
    </row>
    <row r="18" spans="1:22" x14ac:dyDescent="0.25">
      <c r="A18" t="s">
        <v>57</v>
      </c>
      <c r="B18" s="47">
        <f t="shared" si="3"/>
        <v>0</v>
      </c>
      <c r="C18" s="47">
        <f t="shared" si="3"/>
        <v>4.5454545454545452E-3</v>
      </c>
      <c r="D18" s="47">
        <f t="shared" si="3"/>
        <v>4.0909090909090909E-2</v>
      </c>
      <c r="E18" s="47">
        <f t="shared" si="3"/>
        <v>3.4090909090909088E-2</v>
      </c>
      <c r="F18" s="47">
        <f t="shared" si="3"/>
        <v>3.6363636363636362E-2</v>
      </c>
      <c r="G18" s="47">
        <f t="shared" si="3"/>
        <v>5.909090909090909E-2</v>
      </c>
      <c r="H18" s="47">
        <f t="shared" si="3"/>
        <v>9.0909090909090905E-3</v>
      </c>
      <c r="I18" s="47">
        <f t="shared" si="3"/>
        <v>6.8181818181818179E-3</v>
      </c>
      <c r="J18" s="48">
        <f t="shared" si="4"/>
        <v>0.19090909090909089</v>
      </c>
      <c r="K18" s="12"/>
      <c r="N18" s="20"/>
      <c r="O18" s="20"/>
      <c r="P18" s="20"/>
      <c r="Q18" s="20"/>
      <c r="R18" s="20"/>
      <c r="S18" s="20"/>
      <c r="T18" s="20"/>
      <c r="U18" s="20"/>
    </row>
    <row r="19" spans="1:22" x14ac:dyDescent="0.25">
      <c r="A19" t="s">
        <v>59</v>
      </c>
      <c r="B19" s="47">
        <f t="shared" si="3"/>
        <v>2.2727272727272726E-3</v>
      </c>
      <c r="C19" s="47">
        <f t="shared" si="3"/>
        <v>1.3636363636363636E-2</v>
      </c>
      <c r="D19" s="47">
        <f t="shared" si="3"/>
        <v>2.7272727272727271E-2</v>
      </c>
      <c r="E19" s="47">
        <f t="shared" si="3"/>
        <v>6.1363636363636363E-2</v>
      </c>
      <c r="F19" s="47">
        <f t="shared" si="3"/>
        <v>3.8636363636363635E-2</v>
      </c>
      <c r="G19" s="47">
        <f t="shared" si="3"/>
        <v>2.5000000000000001E-2</v>
      </c>
      <c r="H19" s="47">
        <f t="shared" si="3"/>
        <v>9.0909090909090905E-3</v>
      </c>
      <c r="I19" s="47">
        <f t="shared" si="3"/>
        <v>0</v>
      </c>
      <c r="J19" s="48">
        <f t="shared" si="4"/>
        <v>0.17727272727272728</v>
      </c>
      <c r="K19" s="12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t="s">
        <v>60</v>
      </c>
      <c r="B20" s="47">
        <f t="shared" si="3"/>
        <v>4.5454545454545452E-3</v>
      </c>
      <c r="C20" s="47">
        <f t="shared" si="3"/>
        <v>6.8181818181818179E-3</v>
      </c>
      <c r="D20" s="47">
        <f t="shared" si="3"/>
        <v>4.5454545454545456E-2</v>
      </c>
      <c r="E20" s="47">
        <f t="shared" si="3"/>
        <v>7.2727272727272724E-2</v>
      </c>
      <c r="F20" s="47">
        <f t="shared" si="3"/>
        <v>3.6363636363636362E-2</v>
      </c>
      <c r="G20" s="47">
        <f t="shared" si="3"/>
        <v>3.6363636363636362E-2</v>
      </c>
      <c r="H20" s="47">
        <f t="shared" si="3"/>
        <v>1.3636363636363636E-2</v>
      </c>
      <c r="I20" s="47">
        <f t="shared" si="3"/>
        <v>6.8181818181818179E-3</v>
      </c>
      <c r="J20" s="48">
        <f t="shared" si="4"/>
        <v>0.22272727272727272</v>
      </c>
      <c r="K20" s="12"/>
      <c r="N20" s="20"/>
      <c r="O20" s="20"/>
      <c r="P20" s="20"/>
      <c r="Q20" s="20"/>
      <c r="R20" s="20"/>
      <c r="S20" s="20"/>
      <c r="T20" s="20"/>
      <c r="U20" s="20"/>
    </row>
    <row r="21" spans="1:22" x14ac:dyDescent="0.25">
      <c r="A21" t="s">
        <v>62</v>
      </c>
      <c r="B21" s="47">
        <f t="shared" si="3"/>
        <v>0</v>
      </c>
      <c r="C21" s="47">
        <f t="shared" si="3"/>
        <v>9.0909090909090905E-3</v>
      </c>
      <c r="D21" s="47">
        <f t="shared" si="3"/>
        <v>2.5000000000000001E-2</v>
      </c>
      <c r="E21" s="47">
        <f t="shared" si="3"/>
        <v>2.0454545454545454E-2</v>
      </c>
      <c r="F21" s="47">
        <f t="shared" si="3"/>
        <v>2.0454545454545454E-2</v>
      </c>
      <c r="G21" s="47">
        <f t="shared" si="3"/>
        <v>2.0454545454545454E-2</v>
      </c>
      <c r="H21" s="47">
        <f t="shared" si="3"/>
        <v>6.8181818181818179E-3</v>
      </c>
      <c r="I21" s="47">
        <f t="shared" si="3"/>
        <v>2.2727272727272726E-3</v>
      </c>
      <c r="J21" s="48">
        <f t="shared" si="4"/>
        <v>0.10454545454545455</v>
      </c>
      <c r="K21" s="12"/>
      <c r="N21" s="20"/>
      <c r="O21" s="20"/>
      <c r="P21" s="20"/>
      <c r="Q21" s="20"/>
      <c r="R21" s="20"/>
      <c r="S21" s="20"/>
      <c r="T21" s="20"/>
      <c r="U21" s="20"/>
    </row>
    <row r="22" spans="1:22" x14ac:dyDescent="0.25">
      <c r="A22" t="s">
        <v>63</v>
      </c>
      <c r="B22" s="47">
        <f t="shared" si="3"/>
        <v>4.5454545454545452E-3</v>
      </c>
      <c r="C22" s="47">
        <f t="shared" si="3"/>
        <v>1.3636363636363636E-2</v>
      </c>
      <c r="D22" s="47">
        <f t="shared" si="3"/>
        <v>1.8181818181818181E-2</v>
      </c>
      <c r="E22" s="47">
        <f t="shared" si="3"/>
        <v>2.7272727272727271E-2</v>
      </c>
      <c r="F22" s="47">
        <f t="shared" si="3"/>
        <v>4.5454545454545452E-3</v>
      </c>
      <c r="G22" s="47">
        <f t="shared" si="3"/>
        <v>1.5909090909090907E-2</v>
      </c>
      <c r="H22" s="47">
        <f t="shared" si="3"/>
        <v>2.2727272727272726E-3</v>
      </c>
      <c r="I22" s="47">
        <f t="shared" si="3"/>
        <v>2.2727272727272726E-3</v>
      </c>
      <c r="J22" s="48">
        <f t="shared" si="4"/>
        <v>8.8636363636363624E-2</v>
      </c>
      <c r="K22" s="12"/>
      <c r="N22" s="20"/>
      <c r="O22" s="20"/>
      <c r="P22" s="20"/>
      <c r="Q22" s="20"/>
      <c r="R22" s="20"/>
      <c r="S22" s="20"/>
      <c r="T22" s="20"/>
      <c r="U22" s="20"/>
    </row>
    <row r="23" spans="1:22" x14ac:dyDescent="0.25">
      <c r="A23" t="s">
        <v>64</v>
      </c>
      <c r="B23" s="47">
        <f t="shared" si="3"/>
        <v>2.2727272727272726E-3</v>
      </c>
      <c r="C23" s="47">
        <f t="shared" si="3"/>
        <v>2.2727272727272726E-3</v>
      </c>
      <c r="D23" s="47">
        <f t="shared" si="3"/>
        <v>2.2727272727272726E-3</v>
      </c>
      <c r="E23" s="47">
        <f t="shared" si="3"/>
        <v>9.0909090909090905E-3</v>
      </c>
      <c r="F23" s="47">
        <f t="shared" si="3"/>
        <v>4.5454545454545452E-3</v>
      </c>
      <c r="G23" s="47">
        <f t="shared" si="3"/>
        <v>0</v>
      </c>
      <c r="H23" s="47">
        <f t="shared" si="3"/>
        <v>6.8181818181818179E-3</v>
      </c>
      <c r="I23" s="47">
        <f t="shared" si="3"/>
        <v>1.3636363636363636E-2</v>
      </c>
      <c r="J23" s="48">
        <f t="shared" si="4"/>
        <v>4.0909090909090909E-2</v>
      </c>
      <c r="K23" s="12"/>
      <c r="N23" s="20"/>
      <c r="O23" s="20"/>
      <c r="P23" s="20"/>
      <c r="Q23" s="20"/>
      <c r="R23" s="20"/>
      <c r="S23" s="20"/>
      <c r="T23" s="20"/>
      <c r="U23" s="20"/>
    </row>
    <row r="24" spans="1:22" x14ac:dyDescent="0.25">
      <c r="A24" s="5" t="s">
        <v>91</v>
      </c>
      <c r="B24" s="49">
        <f>SUM(B16:B23)</f>
        <v>1.5909090909090907E-2</v>
      </c>
      <c r="C24" s="49">
        <f t="shared" ref="C24:I24" si="5">SUM(C16:C23)</f>
        <v>7.7272727272727271E-2</v>
      </c>
      <c r="D24" s="49">
        <f t="shared" si="5"/>
        <v>0.17499999999999999</v>
      </c>
      <c r="E24" s="49">
        <f t="shared" si="5"/>
        <v>0.27045454545454545</v>
      </c>
      <c r="F24" s="49">
        <f t="shared" si="5"/>
        <v>0.17045454545454544</v>
      </c>
      <c r="G24" s="49">
        <f t="shared" si="5"/>
        <v>0.1727272727272727</v>
      </c>
      <c r="H24" s="49">
        <f t="shared" si="5"/>
        <v>6.363636363636363E-2</v>
      </c>
      <c r="I24" s="49">
        <f t="shared" si="5"/>
        <v>5.4545454545454543E-2</v>
      </c>
      <c r="J24" s="48">
        <f>SUM(B24:I24)</f>
        <v>0.99999999999999989</v>
      </c>
      <c r="K24" s="4"/>
      <c r="M24" s="8"/>
      <c r="N24" s="14"/>
      <c r="O24" s="14"/>
      <c r="P24" s="14"/>
      <c r="Q24" s="14"/>
      <c r="R24" s="14"/>
      <c r="S24" s="14"/>
      <c r="T24" s="14"/>
      <c r="U24" s="14"/>
    </row>
    <row r="25" spans="1:22" x14ac:dyDescent="0.25">
      <c r="A25" s="5" t="s">
        <v>88</v>
      </c>
      <c r="B25" s="6" t="s">
        <v>64</v>
      </c>
      <c r="C25" s="6" t="s">
        <v>63</v>
      </c>
      <c r="D25" s="6" t="s">
        <v>62</v>
      </c>
      <c r="E25" s="6" t="s">
        <v>60</v>
      </c>
      <c r="F25" s="6" t="s">
        <v>59</v>
      </c>
      <c r="G25" s="6" t="s">
        <v>57</v>
      </c>
      <c r="H25" s="6" t="s">
        <v>89</v>
      </c>
      <c r="I25" s="6" t="s">
        <v>55</v>
      </c>
      <c r="J25" s="4"/>
      <c r="K25" s="4"/>
      <c r="M25" s="8"/>
      <c r="N25" s="7"/>
      <c r="O25" s="7"/>
      <c r="P25" s="7"/>
      <c r="Q25" s="7"/>
      <c r="R25" s="7"/>
      <c r="S25" s="7"/>
      <c r="T25" s="7"/>
      <c r="U25" s="7"/>
    </row>
    <row r="26" spans="1:22" x14ac:dyDescent="0.25">
      <c r="A26" s="8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22" x14ac:dyDescent="0.25">
      <c r="A27" s="8" t="s">
        <v>103</v>
      </c>
      <c r="B27" s="7"/>
      <c r="C27" s="7"/>
      <c r="D27" s="7"/>
      <c r="E27" s="7"/>
      <c r="F27" s="7"/>
      <c r="G27" s="8" t="s">
        <v>104</v>
      </c>
      <c r="H27" s="7"/>
      <c r="I27" s="7"/>
      <c r="J27" s="7"/>
      <c r="K27" s="7"/>
    </row>
    <row r="28" spans="1:22" x14ac:dyDescent="0.25">
      <c r="A28" s="8" t="s">
        <v>67</v>
      </c>
      <c r="B28" s="7" t="s">
        <v>68</v>
      </c>
      <c r="C28" s="7" t="s">
        <v>69</v>
      </c>
      <c r="D28" s="7" t="s">
        <v>70</v>
      </c>
      <c r="E28" s="7" t="s">
        <v>69</v>
      </c>
      <c r="F28" s="7"/>
      <c r="G28" s="8" t="s">
        <v>102</v>
      </c>
      <c r="H28" s="7" t="s">
        <v>68</v>
      </c>
      <c r="I28" s="7" t="s">
        <v>69</v>
      </c>
      <c r="J28" s="7" t="s">
        <v>70</v>
      </c>
      <c r="K28" s="7" t="s">
        <v>69</v>
      </c>
      <c r="M28" s="37" t="s">
        <v>298</v>
      </c>
      <c r="S28" t="s">
        <v>153</v>
      </c>
    </row>
    <row r="29" spans="1:22" x14ac:dyDescent="0.25">
      <c r="A29" t="s">
        <v>71</v>
      </c>
      <c r="B29">
        <f>J11</f>
        <v>440</v>
      </c>
      <c r="C29" s="9">
        <f>B29/B29</f>
        <v>1</v>
      </c>
      <c r="D29">
        <v>64</v>
      </c>
      <c r="E29" s="9">
        <f>D29/D29</f>
        <v>1</v>
      </c>
      <c r="G29" t="s">
        <v>71</v>
      </c>
      <c r="H29">
        <f>J11</f>
        <v>440</v>
      </c>
      <c r="I29" s="9">
        <f t="shared" ref="I29:I39" si="6">H29/$H$29</f>
        <v>1</v>
      </c>
      <c r="J29">
        <v>64</v>
      </c>
      <c r="K29" s="9">
        <f>J29/J29</f>
        <v>1</v>
      </c>
      <c r="M29" t="s">
        <v>160</v>
      </c>
      <c r="N29" t="s">
        <v>300</v>
      </c>
      <c r="O29" t="s">
        <v>299</v>
      </c>
      <c r="P29" t="s">
        <v>39</v>
      </c>
      <c r="S29" t="s">
        <v>145</v>
      </c>
      <c r="T29" t="s">
        <v>146</v>
      </c>
      <c r="U29" t="s">
        <v>150</v>
      </c>
    </row>
    <row r="30" spans="1:22" x14ac:dyDescent="0.25">
      <c r="A30" t="s">
        <v>66</v>
      </c>
      <c r="B30">
        <f>B3+C3+B4</f>
        <v>7</v>
      </c>
      <c r="C30" s="11">
        <f t="shared" ref="C30:C39" si="7">B30/B$29</f>
        <v>1.5909090909090907E-2</v>
      </c>
      <c r="D30">
        <v>3</v>
      </c>
      <c r="E30" s="9">
        <f>D30/D$29</f>
        <v>4.6875E-2</v>
      </c>
      <c r="G30" t="s">
        <v>116</v>
      </c>
      <c r="H30">
        <f>B3</f>
        <v>1</v>
      </c>
      <c r="I30" s="9">
        <f t="shared" si="6"/>
        <v>2.2727272727272726E-3</v>
      </c>
      <c r="J30">
        <v>1</v>
      </c>
      <c r="K30" s="9">
        <f t="shared" ref="K30:K39" si="8">J30/J$29</f>
        <v>1.5625E-2</v>
      </c>
      <c r="M30" t="s">
        <v>6</v>
      </c>
      <c r="N30" s="35">
        <f>'consistency class  6&gt;M&gt;2'!$B$24</f>
        <v>7.0621468926553672E-3</v>
      </c>
      <c r="O30" s="35">
        <f>$B$24</f>
        <v>1.5909090909090907E-2</v>
      </c>
      <c r="P30" s="35">
        <f t="shared" ref="P30:P37" si="9">ABS(N30-O30)</f>
        <v>8.8469440164355394E-3</v>
      </c>
      <c r="S30">
        <v>0.1</v>
      </c>
      <c r="T30">
        <v>1.22</v>
      </c>
      <c r="U30">
        <f>SQRT((S35+S36)/(S35*S36))</f>
        <v>0.12141098222579942</v>
      </c>
      <c r="V30">
        <f>$U$30*T30</f>
        <v>0.1481213983154753</v>
      </c>
    </row>
    <row r="31" spans="1:22" x14ac:dyDescent="0.25">
      <c r="A31" t="s">
        <v>72</v>
      </c>
      <c r="B31">
        <f>B3+B4+C3+C4+C5+D4+D5+D6+E5+E6+E7+F6</f>
        <v>142</v>
      </c>
      <c r="C31" s="11">
        <f t="shared" si="7"/>
        <v>0.32272727272727275</v>
      </c>
      <c r="D31">
        <v>12</v>
      </c>
      <c r="E31" s="9">
        <f t="shared" ref="E31:E39" si="10">D31/D$29</f>
        <v>0.1875</v>
      </c>
      <c r="G31" t="s">
        <v>117</v>
      </c>
      <c r="H31">
        <f>B3+C4+D5+E6</f>
        <v>52</v>
      </c>
      <c r="I31" s="9">
        <f t="shared" si="6"/>
        <v>0.11818181818181818</v>
      </c>
      <c r="J31">
        <v>4</v>
      </c>
      <c r="K31" s="9">
        <f t="shared" si="8"/>
        <v>6.25E-2</v>
      </c>
      <c r="M31" t="s">
        <v>7</v>
      </c>
      <c r="N31" s="35">
        <f>'consistency class  6&gt;M&gt;2'!$B$24+$C$24</f>
        <v>8.4334874165382642E-2</v>
      </c>
      <c r="O31" s="35">
        <f>$B$24+$C$24</f>
        <v>9.3181818181818171E-2</v>
      </c>
      <c r="P31" s="35">
        <f t="shared" si="9"/>
        <v>8.846944016435529E-3</v>
      </c>
      <c r="S31">
        <v>0.05</v>
      </c>
      <c r="T31">
        <v>1.36</v>
      </c>
      <c r="V31">
        <f t="shared" ref="V31:V32" si="11">$U$30*T31</f>
        <v>0.16511893582708723</v>
      </c>
    </row>
    <row r="32" spans="1:22" x14ac:dyDescent="0.25">
      <c r="A32" t="s">
        <v>73</v>
      </c>
      <c r="B32">
        <f>SUM(B3:B7, C3:C7, D3:D7, E3:E7, F3:F6)</f>
        <v>224</v>
      </c>
      <c r="C32" s="11">
        <f t="shared" si="7"/>
        <v>0.50909090909090904</v>
      </c>
      <c r="D32">
        <v>24</v>
      </c>
      <c r="E32" s="9">
        <f t="shared" si="10"/>
        <v>0.375</v>
      </c>
      <c r="G32" t="s">
        <v>118</v>
      </c>
      <c r="H32">
        <f>SUM(B3:B6) + SUM(C3:C6) + SUM(D3:D6) + SUM(E3:E6)</f>
        <v>121</v>
      </c>
      <c r="I32" s="9">
        <f t="shared" si="6"/>
        <v>0.27500000000000002</v>
      </c>
      <c r="J32">
        <v>16</v>
      </c>
      <c r="K32" s="9">
        <f t="shared" si="8"/>
        <v>0.25</v>
      </c>
      <c r="M32" t="s">
        <v>8</v>
      </c>
      <c r="N32" s="35">
        <f>'consistency class  6&gt;M&gt;2'!$B$24+$C$24+$D$24</f>
        <v>0.25933487416538265</v>
      </c>
      <c r="O32" s="35">
        <f>$B$24+$C$24+$D$24</f>
        <v>0.26818181818181819</v>
      </c>
      <c r="P32" s="35">
        <f t="shared" si="9"/>
        <v>8.8469440164355428E-3</v>
      </c>
      <c r="S32">
        <v>0.01</v>
      </c>
      <c r="T32">
        <v>1.63</v>
      </c>
      <c r="V32">
        <f t="shared" si="11"/>
        <v>0.19789990102805305</v>
      </c>
    </row>
    <row r="33" spans="1:22" x14ac:dyDescent="0.25">
      <c r="A33" t="s">
        <v>74</v>
      </c>
      <c r="B33">
        <f>SUM(B3:B10, C3:C9, D3:D8, E3:E7, F3:F6, G3:G5, H3:H4, I3)</f>
        <v>296</v>
      </c>
      <c r="C33" s="11">
        <f t="shared" si="7"/>
        <v>0.67272727272727273</v>
      </c>
      <c r="D33">
        <v>36</v>
      </c>
      <c r="E33" s="9">
        <f t="shared" si="10"/>
        <v>0.5625</v>
      </c>
      <c r="G33" t="s">
        <v>119</v>
      </c>
      <c r="H33">
        <f>SUM(B3:B9)+SUM(C3:C8)+SUM(D3:D7)+SUM(E3:E6)+SUM(F3:F5)+SUM(G3:G4)+H3</f>
        <v>189</v>
      </c>
      <c r="I33" s="9">
        <f t="shared" si="6"/>
        <v>0.42954545454545456</v>
      </c>
      <c r="J33">
        <v>28</v>
      </c>
      <c r="K33" s="9">
        <f t="shared" si="8"/>
        <v>0.4375</v>
      </c>
      <c r="M33" t="s">
        <v>9</v>
      </c>
      <c r="N33" s="35">
        <f>SUM('consistency class  6&gt;M&gt;2'!$B$24:$E$24)</f>
        <v>0.67231638418079098</v>
      </c>
      <c r="O33" s="35">
        <f>SUM($B$24:$E$24)</f>
        <v>0.53863636363636358</v>
      </c>
      <c r="P33" s="35">
        <f t="shared" si="9"/>
        <v>0.1336800205444274</v>
      </c>
      <c r="R33" t="s">
        <v>292</v>
      </c>
      <c r="V33" s="35">
        <f>MAX(P38, P48, P65)</f>
        <v>0.1637904468412944</v>
      </c>
    </row>
    <row r="34" spans="1:22" x14ac:dyDescent="0.25">
      <c r="A34" t="s">
        <v>75</v>
      </c>
      <c r="B34">
        <f>SUM(B9:B10, C8:C10, D7:D9, E6:E8, F5:F7, G4:G6, H3:H5, I3:I4)</f>
        <v>231</v>
      </c>
      <c r="C34" s="11">
        <f t="shared" si="7"/>
        <v>0.52500000000000002</v>
      </c>
      <c r="D34">
        <v>22</v>
      </c>
      <c r="E34" s="9">
        <f t="shared" si="10"/>
        <v>0.34375</v>
      </c>
      <c r="G34" t="s">
        <v>120</v>
      </c>
      <c r="H34">
        <f>B10+C9+D8+E7+F6+G5+H4+I3+E6+F7</f>
        <v>150</v>
      </c>
      <c r="I34" s="22">
        <f t="shared" si="6"/>
        <v>0.34090909090909088</v>
      </c>
      <c r="J34">
        <v>8</v>
      </c>
      <c r="K34" s="9">
        <f t="shared" si="8"/>
        <v>0.125</v>
      </c>
      <c r="M34" t="s">
        <v>10</v>
      </c>
      <c r="N34" s="35">
        <f>SUM('consistency class  6&gt;M&gt;2'!$B$24:$F$24)</f>
        <v>0.8728813559322034</v>
      </c>
      <c r="O34" s="35">
        <f>SUM($B$24:$F$24)</f>
        <v>0.70909090909090899</v>
      </c>
      <c r="P34" s="35">
        <f t="shared" si="9"/>
        <v>0.1637904468412944</v>
      </c>
      <c r="S34" t="s">
        <v>147</v>
      </c>
    </row>
    <row r="35" spans="1:22" x14ac:dyDescent="0.25">
      <c r="A35" t="s">
        <v>76</v>
      </c>
      <c r="B35">
        <f>SUM(E6:E7, F6:F7)</f>
        <v>92</v>
      </c>
      <c r="C35" s="11">
        <f t="shared" si="7"/>
        <v>0.20909090909090908</v>
      </c>
      <c r="D35">
        <v>4</v>
      </c>
      <c r="E35" s="9">
        <f t="shared" si="10"/>
        <v>6.25E-2</v>
      </c>
      <c r="G35" t="s">
        <v>121</v>
      </c>
      <c r="H35">
        <f>E7+F6</f>
        <v>49</v>
      </c>
      <c r="I35" s="22">
        <f t="shared" si="6"/>
        <v>0.11136363636363636</v>
      </c>
      <c r="J35">
        <v>2</v>
      </c>
      <c r="K35" s="9">
        <f t="shared" si="8"/>
        <v>3.125E-2</v>
      </c>
      <c r="M35" t="s">
        <v>11</v>
      </c>
      <c r="N35" s="35">
        <f>SUM('consistency class  6&gt;M&gt;2'!$B$24:$G$24)</f>
        <v>0.96892655367231639</v>
      </c>
      <c r="O35" s="35">
        <f>SUM($B$24:$G$24)</f>
        <v>0.88181818181818172</v>
      </c>
      <c r="P35" s="35">
        <f t="shared" si="9"/>
        <v>8.710837185413467E-2</v>
      </c>
      <c r="R35" t="s">
        <v>301</v>
      </c>
      <c r="S35">
        <f>708/4</f>
        <v>177</v>
      </c>
    </row>
    <row r="36" spans="1:22" x14ac:dyDescent="0.25">
      <c r="A36" t="s">
        <v>200</v>
      </c>
      <c r="B36">
        <f>I10</f>
        <v>6</v>
      </c>
      <c r="C36" s="11">
        <f t="shared" si="7"/>
        <v>1.3636363636363636E-2</v>
      </c>
      <c r="D36">
        <v>3</v>
      </c>
      <c r="E36" s="9">
        <f t="shared" si="10"/>
        <v>4.6875E-2</v>
      </c>
      <c r="G36" t="s">
        <v>198</v>
      </c>
      <c r="H36">
        <f>I10</f>
        <v>6</v>
      </c>
      <c r="I36" s="14">
        <f t="shared" si="6"/>
        <v>1.3636363636363636E-2</v>
      </c>
      <c r="J36">
        <v>1</v>
      </c>
      <c r="K36" s="9">
        <f t="shared" si="8"/>
        <v>1.5625E-2</v>
      </c>
      <c r="M36" t="s">
        <v>12</v>
      </c>
      <c r="N36" s="35">
        <f>SUM('consistency class  6&gt;M&gt;2'!$B$24:$H$24)</f>
        <v>0.98587570621468923</v>
      </c>
      <c r="O36" s="35">
        <f>SUM($B$24:$H$24)</f>
        <v>0.94545454545454533</v>
      </c>
      <c r="P36" s="35">
        <f t="shared" si="9"/>
        <v>4.0421160760143904E-2</v>
      </c>
      <c r="R36" t="s">
        <v>241</v>
      </c>
      <c r="S36">
        <f>440/4</f>
        <v>110</v>
      </c>
    </row>
    <row r="37" spans="1:22" x14ac:dyDescent="0.25">
      <c r="A37" t="s">
        <v>134</v>
      </c>
      <c r="B37">
        <f>SUM(I9:I10,H8:H10, G7:G9, F6:F8,E7)</f>
        <v>120</v>
      </c>
      <c r="C37" s="11">
        <f t="shared" si="7"/>
        <v>0.27272727272727271</v>
      </c>
      <c r="D37">
        <v>12</v>
      </c>
      <c r="E37" s="9">
        <f t="shared" si="10"/>
        <v>0.1875</v>
      </c>
      <c r="G37" t="s">
        <v>1</v>
      </c>
      <c r="H37">
        <f>I10+H9+G8+F7</f>
        <v>32</v>
      </c>
      <c r="I37" s="14">
        <f t="shared" si="6"/>
        <v>7.2727272727272724E-2</v>
      </c>
      <c r="J37">
        <v>4</v>
      </c>
      <c r="K37" s="9">
        <f t="shared" si="8"/>
        <v>6.25E-2</v>
      </c>
      <c r="M37" t="s">
        <v>22</v>
      </c>
      <c r="N37" s="35">
        <f>SUM('consistency class  6&gt;M&gt;2'!$B$24:$I$24)</f>
        <v>1</v>
      </c>
      <c r="O37" s="35">
        <f>SUM($B$24:$I$24)</f>
        <v>0.99999999999999989</v>
      </c>
      <c r="P37" s="35">
        <f t="shared" si="9"/>
        <v>1.1102230246251565E-16</v>
      </c>
    </row>
    <row r="38" spans="1:22" x14ac:dyDescent="0.25">
      <c r="A38" t="s">
        <v>135</v>
      </c>
      <c r="B38">
        <f>SUM(E10:I10, E9:I9, E8:I8, E7:I7, F6:I6)</f>
        <v>174</v>
      </c>
      <c r="C38" s="11">
        <f t="shared" si="7"/>
        <v>0.39545454545454545</v>
      </c>
      <c r="D38">
        <v>24</v>
      </c>
      <c r="E38" s="9">
        <f t="shared" si="10"/>
        <v>0.375</v>
      </c>
      <c r="G38" t="s">
        <v>137</v>
      </c>
      <c r="H38">
        <f>SUM(F10:I10, F9:I9, F8:I8, F7:I7)</f>
        <v>85</v>
      </c>
      <c r="I38" s="14">
        <f t="shared" si="6"/>
        <v>0.19318181818181818</v>
      </c>
      <c r="J38">
        <v>16</v>
      </c>
      <c r="K38" s="9">
        <f t="shared" si="8"/>
        <v>0.25</v>
      </c>
      <c r="M38" t="s">
        <v>15</v>
      </c>
      <c r="P38" s="51">
        <f>MAX(P30:P37)</f>
        <v>0.1637904468412944</v>
      </c>
    </row>
    <row r="39" spans="1:22" x14ac:dyDescent="0.25">
      <c r="A39" t="s">
        <v>136</v>
      </c>
      <c r="B39">
        <f>SUM(B10:I10, C9:I9, D8:I8, E7:I7, F6:I6, G5:I5, H4:I4, I3)</f>
        <v>251</v>
      </c>
      <c r="C39" s="11">
        <f t="shared" si="7"/>
        <v>0.57045454545454544</v>
      </c>
      <c r="D39">
        <v>36</v>
      </c>
      <c r="E39" s="9">
        <f t="shared" si="10"/>
        <v>0.5625</v>
      </c>
      <c r="G39" t="s">
        <v>138</v>
      </c>
      <c r="H39">
        <f>SUM(C10:I10, D9:I9, E8:I8, F7:I7,G6:I6, H5:I5, I4)</f>
        <v>144</v>
      </c>
      <c r="I39" s="14">
        <f t="shared" si="6"/>
        <v>0.32727272727272727</v>
      </c>
      <c r="J39">
        <v>28</v>
      </c>
      <c r="K39" s="9">
        <f t="shared" si="8"/>
        <v>0.4375</v>
      </c>
      <c r="M39" t="s">
        <v>161</v>
      </c>
    </row>
    <row r="40" spans="1:22" x14ac:dyDescent="0.25">
      <c r="C40" s="11"/>
      <c r="E40" s="9"/>
      <c r="I40" s="9"/>
      <c r="K40" s="9"/>
      <c r="M40" t="s">
        <v>93</v>
      </c>
      <c r="N40" s="35">
        <f>'consistency class  6&gt;M&gt;2'!$J$16</f>
        <v>3.8135593220338979E-2</v>
      </c>
      <c r="O40" s="35">
        <f>$J$16</f>
        <v>9.3181818181818171E-2</v>
      </c>
      <c r="P40" s="35">
        <f>ABS(N40-O40)</f>
        <v>5.5046224961479193E-2</v>
      </c>
    </row>
    <row r="41" spans="1:22" x14ac:dyDescent="0.25">
      <c r="A41" t="s">
        <v>124</v>
      </c>
      <c r="B41">
        <f>B29-B35</f>
        <v>348</v>
      </c>
      <c r="C41" s="11">
        <v>1</v>
      </c>
      <c r="D41">
        <v>60</v>
      </c>
      <c r="E41" s="9">
        <v>1</v>
      </c>
      <c r="G41" t="s">
        <v>125</v>
      </c>
      <c r="H41">
        <f>H29-H35</f>
        <v>391</v>
      </c>
      <c r="I41" s="9">
        <v>1</v>
      </c>
      <c r="J41">
        <v>62</v>
      </c>
      <c r="K41" s="9">
        <v>1</v>
      </c>
      <c r="M41" t="s">
        <v>16</v>
      </c>
      <c r="N41" s="35">
        <f>'consistency class  6&gt;M&gt;2'!$J$17+N40</f>
        <v>9.1807909604519761E-2</v>
      </c>
      <c r="O41" s="35">
        <f>SUM($J$16:$J$17)</f>
        <v>0.17499999999999999</v>
      </c>
      <c r="P41" s="35">
        <f t="shared" ref="P41:P47" si="12">ABS(N41-O41)</f>
        <v>8.3192090395480228E-2</v>
      </c>
    </row>
    <row r="42" spans="1:22" x14ac:dyDescent="0.25">
      <c r="A42" t="s">
        <v>80</v>
      </c>
      <c r="B42">
        <f>B34-B35</f>
        <v>139</v>
      </c>
      <c r="C42" s="11">
        <f>B42/B$41</f>
        <v>0.39942528735632182</v>
      </c>
      <c r="D42">
        <v>18</v>
      </c>
      <c r="E42" s="9">
        <f>D42/D$41</f>
        <v>0.3</v>
      </c>
      <c r="G42" t="s">
        <v>122</v>
      </c>
      <c r="H42">
        <f>H34-E7-F6</f>
        <v>101</v>
      </c>
      <c r="I42" s="9">
        <f>H42/$H$41</f>
        <v>0.25831202046035806</v>
      </c>
      <c r="J42">
        <v>6</v>
      </c>
      <c r="K42" s="9">
        <f>J42/J$41</f>
        <v>9.6774193548387094E-2</v>
      </c>
      <c r="M42" t="s">
        <v>17</v>
      </c>
      <c r="N42" s="35">
        <f>'consistency class  6&gt;M&gt;2'!$J$18+N41</f>
        <v>0.28813559322033894</v>
      </c>
      <c r="O42" s="35">
        <f>SUM($J$16:$J$18)</f>
        <v>0.36590909090909085</v>
      </c>
      <c r="P42" s="35">
        <f t="shared" si="12"/>
        <v>7.7773497688751914E-2</v>
      </c>
    </row>
    <row r="43" spans="1:22" x14ac:dyDescent="0.25">
      <c r="C43" s="10"/>
      <c r="E43" s="9"/>
      <c r="M43" t="s">
        <v>18</v>
      </c>
      <c r="N43" s="35">
        <f>'consistency class  6&gt;M&gt;2'!$J$19+N42</f>
        <v>0.49435028248587565</v>
      </c>
      <c r="O43" s="35">
        <f>SUM($J$16:$J$19)</f>
        <v>0.5431818181818181</v>
      </c>
      <c r="P43" s="35">
        <f t="shared" si="12"/>
        <v>4.8831535695942452E-2</v>
      </c>
    </row>
    <row r="44" spans="1:22" x14ac:dyDescent="0.25">
      <c r="A44" t="s">
        <v>81</v>
      </c>
      <c r="B44">
        <f>B29-B34</f>
        <v>209</v>
      </c>
      <c r="C44" s="10">
        <f t="shared" ref="C44:C52" si="13">B44/B$44</f>
        <v>1</v>
      </c>
      <c r="D44">
        <v>42</v>
      </c>
      <c r="E44" s="9">
        <f t="shared" ref="E44:E52" si="14">D44/D$44</f>
        <v>1</v>
      </c>
      <c r="G44" t="s">
        <v>129</v>
      </c>
      <c r="H44">
        <f>H29-H34</f>
        <v>290</v>
      </c>
      <c r="I44" s="32">
        <f>H44/H$44</f>
        <v>1</v>
      </c>
      <c r="J44">
        <f>J29-J34</f>
        <v>56</v>
      </c>
      <c r="K44" s="9">
        <f t="shared" ref="K44:K52" si="15">J44/J$44</f>
        <v>1</v>
      </c>
      <c r="M44" t="s">
        <v>19</v>
      </c>
      <c r="N44" s="35">
        <f>'consistency class  6&gt;M&gt;2'!$J$20+N43</f>
        <v>0.80084745762711851</v>
      </c>
      <c r="O44" s="35">
        <f>SUM($J$16:$J$20)</f>
        <v>0.76590909090909087</v>
      </c>
      <c r="P44" s="35">
        <f t="shared" si="12"/>
        <v>3.4938366718027636E-2</v>
      </c>
    </row>
    <row r="45" spans="1:22" x14ac:dyDescent="0.25">
      <c r="A45" t="s">
        <v>82</v>
      </c>
      <c r="B45">
        <f>B30</f>
        <v>7</v>
      </c>
      <c r="C45" s="11">
        <f t="shared" si="13"/>
        <v>3.3492822966507178E-2</v>
      </c>
      <c r="D45">
        <v>3</v>
      </c>
      <c r="E45" s="9">
        <f t="shared" si="14"/>
        <v>7.1428571428571425E-2</v>
      </c>
      <c r="G45" t="s">
        <v>130</v>
      </c>
      <c r="H45">
        <f>H30</f>
        <v>1</v>
      </c>
      <c r="I45" s="32">
        <f>H45/H$44</f>
        <v>3.4482758620689655E-3</v>
      </c>
      <c r="J45">
        <v>1</v>
      </c>
      <c r="K45" s="9">
        <f t="shared" si="15"/>
        <v>1.7857142857142856E-2</v>
      </c>
      <c r="M45" t="s">
        <v>20</v>
      </c>
      <c r="N45" s="35">
        <f>'consistency class  6&gt;M&gt;2'!$J$21+N44</f>
        <v>0.93361581920903935</v>
      </c>
      <c r="O45" s="35">
        <f>SUM($J$16:$J$21)</f>
        <v>0.87045454545454537</v>
      </c>
      <c r="P45" s="35">
        <f t="shared" si="12"/>
        <v>6.3161273754493985E-2</v>
      </c>
    </row>
    <row r="46" spans="1:22" x14ac:dyDescent="0.25">
      <c r="A46" t="s">
        <v>77</v>
      </c>
      <c r="B46">
        <f>B31-(SUM(E6:E7,F6))</f>
        <v>66</v>
      </c>
      <c r="C46" s="11">
        <f t="shared" si="13"/>
        <v>0.31578947368421051</v>
      </c>
      <c r="D46">
        <v>9</v>
      </c>
      <c r="E46" s="9">
        <f t="shared" si="14"/>
        <v>0.21428571428571427</v>
      </c>
      <c r="G46" t="s">
        <v>131</v>
      </c>
      <c r="H46">
        <f>H31</f>
        <v>52</v>
      </c>
      <c r="I46" s="32">
        <f>H46/H$44</f>
        <v>0.1793103448275862</v>
      </c>
      <c r="J46">
        <v>4</v>
      </c>
      <c r="K46" s="9">
        <f t="shared" si="15"/>
        <v>7.1428571428571425E-2</v>
      </c>
      <c r="M46" t="s">
        <v>21</v>
      </c>
      <c r="N46" s="35">
        <f>'consistency class  6&gt;M&gt;2'!$J$22+N45</f>
        <v>0.9929378531073445</v>
      </c>
      <c r="O46" s="35">
        <f>SUM($J$16:$J$22)</f>
        <v>0.95909090909090899</v>
      </c>
      <c r="P46" s="35">
        <f t="shared" si="12"/>
        <v>3.384694401643551E-2</v>
      </c>
    </row>
    <row r="47" spans="1:22" x14ac:dyDescent="0.25">
      <c r="A47" t="s">
        <v>78</v>
      </c>
      <c r="B47">
        <f>$B$32-SUM($D$7, $E$6:E$7, $F$5:$F$6)</f>
        <v>112</v>
      </c>
      <c r="C47" s="11">
        <f t="shared" si="13"/>
        <v>0.53588516746411485</v>
      </c>
      <c r="D47">
        <v>19</v>
      </c>
      <c r="E47" s="9">
        <f t="shared" si="14"/>
        <v>0.45238095238095238</v>
      </c>
      <c r="G47" t="s">
        <v>132</v>
      </c>
      <c r="H47">
        <f>H32</f>
        <v>121</v>
      </c>
      <c r="I47" s="32">
        <f t="shared" ref="I47:I52" si="16">H47/H$44</f>
        <v>0.41724137931034483</v>
      </c>
      <c r="J47">
        <v>16</v>
      </c>
      <c r="K47" s="9">
        <f t="shared" si="15"/>
        <v>0.2857142857142857</v>
      </c>
      <c r="M47" t="s">
        <v>23</v>
      </c>
      <c r="N47" s="35">
        <f>'consistency class  6&gt;M&gt;2'!$J$23+N46</f>
        <v>0.99999999999999989</v>
      </c>
      <c r="O47" s="35">
        <f>SUM($J$16:$J$23)</f>
        <v>0.99999999999999989</v>
      </c>
      <c r="P47" s="35">
        <f t="shared" si="12"/>
        <v>0</v>
      </c>
    </row>
    <row r="48" spans="1:22" x14ac:dyDescent="0.25">
      <c r="A48" t="s">
        <v>79</v>
      </c>
      <c r="B48">
        <f>B$33-SUM(B$9:B$10, C$8:C$9, D$7:D$8, E$6:E$7, F$5:F$6, G$4:G$5, H$3:H$4, I$3)</f>
        <v>116</v>
      </c>
      <c r="C48" s="11">
        <f t="shared" si="13"/>
        <v>0.55502392344497609</v>
      </c>
      <c r="D48">
        <v>21</v>
      </c>
      <c r="E48" s="9">
        <f t="shared" si="14"/>
        <v>0.5</v>
      </c>
      <c r="G48" t="s">
        <v>133</v>
      </c>
      <c r="H48">
        <f>H33</f>
        <v>189</v>
      </c>
      <c r="I48" s="32">
        <f t="shared" si="16"/>
        <v>0.65172413793103445</v>
      </c>
      <c r="J48">
        <v>28</v>
      </c>
      <c r="K48" s="9">
        <f t="shared" si="15"/>
        <v>0.5</v>
      </c>
      <c r="M48" t="s">
        <v>15</v>
      </c>
      <c r="P48" s="35">
        <f>MAX(P40:P47)</f>
        <v>8.3192090395480228E-2</v>
      </c>
      <c r="Q48" s="35"/>
    </row>
    <row r="49" spans="1:21" x14ac:dyDescent="0.25">
      <c r="A49" t="s">
        <v>201</v>
      </c>
      <c r="B49">
        <f>B36</f>
        <v>6</v>
      </c>
      <c r="C49" s="11">
        <f t="shared" si="13"/>
        <v>2.8708133971291867E-2</v>
      </c>
      <c r="D49">
        <v>3</v>
      </c>
      <c r="E49" s="9">
        <f t="shared" si="14"/>
        <v>7.1428571428571425E-2</v>
      </c>
      <c r="G49" t="s">
        <v>199</v>
      </c>
      <c r="H49">
        <v>0</v>
      </c>
      <c r="I49" s="32">
        <f t="shared" si="16"/>
        <v>0</v>
      </c>
      <c r="J49">
        <v>1</v>
      </c>
      <c r="K49" s="9">
        <f t="shared" si="15"/>
        <v>1.7857142857142856E-2</v>
      </c>
      <c r="M49" t="s">
        <v>162</v>
      </c>
    </row>
    <row r="50" spans="1:21" x14ac:dyDescent="0.25">
      <c r="A50" t="s">
        <v>139</v>
      </c>
      <c r="B50">
        <f>B37-SUM(F6:F7,E7)</f>
        <v>55</v>
      </c>
      <c r="C50" s="11">
        <f t="shared" si="13"/>
        <v>0.26315789473684209</v>
      </c>
      <c r="D50">
        <v>9</v>
      </c>
      <c r="E50" s="9">
        <f t="shared" si="14"/>
        <v>0.21428571428571427</v>
      </c>
      <c r="G50" t="s">
        <v>0</v>
      </c>
      <c r="H50">
        <f>I10+H9+G8+F7</f>
        <v>32</v>
      </c>
      <c r="I50" s="32">
        <f t="shared" si="16"/>
        <v>0.1103448275862069</v>
      </c>
      <c r="J50">
        <v>4</v>
      </c>
      <c r="K50" s="9">
        <f t="shared" si="15"/>
        <v>7.1428571428571425E-2</v>
      </c>
      <c r="M50" t="s">
        <v>24</v>
      </c>
      <c r="N50" s="35">
        <f>'consistency class  6&gt;M&gt;2'!$B$16</f>
        <v>0</v>
      </c>
      <c r="O50" s="35">
        <f>$B$16</f>
        <v>2.2727272727272726E-3</v>
      </c>
      <c r="P50" s="35">
        <f>ABS(N50-O50)</f>
        <v>2.2727272727272726E-3</v>
      </c>
    </row>
    <row r="51" spans="1:21" x14ac:dyDescent="0.25">
      <c r="A51" t="s">
        <v>140</v>
      </c>
      <c r="B51">
        <f>SUM(E10:I10, E9:I9, F8:I8, G7:I7, H6:I6)</f>
        <v>89</v>
      </c>
      <c r="C51" s="11">
        <f t="shared" si="13"/>
        <v>0.42583732057416268</v>
      </c>
      <c r="D51">
        <v>19</v>
      </c>
      <c r="E51" s="9">
        <f t="shared" si="14"/>
        <v>0.45238095238095238</v>
      </c>
      <c r="G51" t="s">
        <v>143</v>
      </c>
      <c r="H51">
        <f>SUM(F7:I10)</f>
        <v>85</v>
      </c>
      <c r="I51" s="32">
        <f t="shared" si="16"/>
        <v>0.29310344827586204</v>
      </c>
      <c r="J51">
        <v>16</v>
      </c>
      <c r="K51" s="9">
        <f t="shared" si="15"/>
        <v>0.2857142857142857</v>
      </c>
      <c r="M51" t="s">
        <v>25</v>
      </c>
      <c r="N51" s="35">
        <f>N50+'consistency class  6&gt;M&gt;2'!$B$17+'consistency class  6&gt;M&gt;2'!$C$16</f>
        <v>0</v>
      </c>
      <c r="O51" s="35">
        <f>O50+B17+C16</f>
        <v>1.5909090909090907E-2</v>
      </c>
      <c r="P51" s="35">
        <f t="shared" ref="P51:P64" si="17">ABS(N51-O51)</f>
        <v>1.5909090909090907E-2</v>
      </c>
      <c r="R51" s="41"/>
    </row>
    <row r="52" spans="1:21" x14ac:dyDescent="0.25">
      <c r="A52" t="s">
        <v>141</v>
      </c>
      <c r="B52">
        <f>SUM(D10:I10, E9:I9, F8:I8, G7:I7, H6:I6, I5)</f>
        <v>93</v>
      </c>
      <c r="C52" s="11">
        <f t="shared" si="13"/>
        <v>0.44497607655502391</v>
      </c>
      <c r="D52">
        <v>21</v>
      </c>
      <c r="E52" s="9">
        <f t="shared" si="14"/>
        <v>0.5</v>
      </c>
      <c r="G52" t="s">
        <v>144</v>
      </c>
      <c r="H52">
        <f>H39</f>
        <v>144</v>
      </c>
      <c r="I52" s="32">
        <f t="shared" si="16"/>
        <v>0.49655172413793103</v>
      </c>
      <c r="J52">
        <v>28</v>
      </c>
      <c r="K52" s="9">
        <f t="shared" si="15"/>
        <v>0.5</v>
      </c>
      <c r="M52" t="s">
        <v>26</v>
      </c>
      <c r="N52" s="35">
        <f>N51+'consistency class  6&gt;M&gt;2'!$B$18+'consistency class  6&gt;M&gt;2'!$C$17+'consistency class  6&gt;M&gt;2'!$D$16</f>
        <v>9.8870056497175132E-3</v>
      </c>
      <c r="O52" s="35">
        <f>O51+B18+C17+D16</f>
        <v>3.1818181818181815E-2</v>
      </c>
      <c r="P52" s="35">
        <f t="shared" si="17"/>
        <v>2.1931176168464302E-2</v>
      </c>
      <c r="S52" s="35"/>
      <c r="T52" s="35"/>
      <c r="U52" s="35"/>
    </row>
    <row r="53" spans="1:21" x14ac:dyDescent="0.25">
      <c r="M53" t="s">
        <v>27</v>
      </c>
      <c r="N53" s="35">
        <f>N52+'consistency class  6&gt;M&gt;2'!$B$19+'consistency class  6&gt;M&gt;2'!$C$18+'consistency class  6&gt;M&gt;2'!$D$17+'consistency class  6&gt;M&gt;2'!$E$16</f>
        <v>3.3898305084745763E-2</v>
      </c>
      <c r="O53" s="35">
        <f>O52+B19+C18+D17+E16</f>
        <v>7.9545454545454544E-2</v>
      </c>
      <c r="P53" s="35">
        <f t="shared" si="17"/>
        <v>4.5647149460708782E-2</v>
      </c>
      <c r="S53" s="35"/>
      <c r="T53" s="35"/>
      <c r="U53" s="35"/>
    </row>
    <row r="54" spans="1:21" x14ac:dyDescent="0.25">
      <c r="A54" t="s">
        <v>196</v>
      </c>
      <c r="B54">
        <f>B29</f>
        <v>440</v>
      </c>
      <c r="C54" s="11">
        <v>1</v>
      </c>
      <c r="D54">
        <v>64</v>
      </c>
      <c r="E54">
        <v>100</v>
      </c>
      <c r="G54" t="s">
        <v>197</v>
      </c>
      <c r="H54">
        <v>324</v>
      </c>
      <c r="I54" s="11">
        <v>1</v>
      </c>
      <c r="J54">
        <v>64</v>
      </c>
      <c r="K54" s="11">
        <v>1</v>
      </c>
      <c r="M54" t="s">
        <v>28</v>
      </c>
      <c r="N54" s="35">
        <f>N53+'consistency class  6&gt;M&gt;2'!$B$20+'consistency class  6&gt;M&gt;2'!$C$19+'consistency class  6&gt;M&gt;2'!$D$18+'consistency class  6&gt;M&gt;2'!$E$17+'consistency class  6&gt;M&gt;2'!$F$16</f>
        <v>9.8870056497175146E-2</v>
      </c>
      <c r="O54" s="35">
        <f>O53+B20+C19+D18+E17+F16</f>
        <v>0.17500000000000002</v>
      </c>
      <c r="P54" s="35">
        <f t="shared" si="17"/>
        <v>7.6129943502824871E-2</v>
      </c>
      <c r="S54" s="35"/>
      <c r="T54" s="35"/>
      <c r="U54" s="35"/>
    </row>
    <row r="55" spans="1:21" x14ac:dyDescent="0.25">
      <c r="A55" t="s">
        <v>142</v>
      </c>
      <c r="B55">
        <f>B46</f>
        <v>66</v>
      </c>
      <c r="C55" s="11">
        <f>B55/B$54</f>
        <v>0.15</v>
      </c>
      <c r="D55">
        <f>D46</f>
        <v>9</v>
      </c>
      <c r="E55" s="9">
        <f>D55/D$54</f>
        <v>0.140625</v>
      </c>
      <c r="G55" t="s">
        <v>131</v>
      </c>
      <c r="H55">
        <f>H46</f>
        <v>52</v>
      </c>
      <c r="I55" s="32">
        <f>H55/H$54</f>
        <v>0.16049382716049382</v>
      </c>
      <c r="J55">
        <f>J46</f>
        <v>4</v>
      </c>
      <c r="K55" s="9">
        <f>J55/J$54</f>
        <v>6.25E-2</v>
      </c>
      <c r="M55" t="s">
        <v>29</v>
      </c>
      <c r="N55" s="35">
        <f>N54+'consistency class  6&gt;M&gt;2'!$B$21+'consistency class  6&gt;M&gt;2'!$C$20+'consistency class  6&gt;M&gt;2'!$D$19+'consistency class  6&gt;M&gt;2'!$E$18+'consistency class  6&gt;M&gt;2'!$F$17+'consistency class  6&gt;M&gt;2'!$G$16</f>
        <v>0.2443502824858757</v>
      </c>
      <c r="O55" s="35">
        <f>O54+B21+C20+D19+E18+F17+G16</f>
        <v>0.26363636363636367</v>
      </c>
      <c r="P55" s="35">
        <f t="shared" si="17"/>
        <v>1.9286081150487966E-2</v>
      </c>
      <c r="S55" s="35"/>
      <c r="T55" s="35"/>
      <c r="U55" s="35"/>
    </row>
    <row r="56" spans="1:21" x14ac:dyDescent="0.25">
      <c r="A56" t="s">
        <v>78</v>
      </c>
      <c r="B56">
        <f t="shared" ref="B56:B61" si="18">B47</f>
        <v>112</v>
      </c>
      <c r="C56" s="11">
        <f t="shared" ref="C56:C61" si="19">B56/B$54</f>
        <v>0.25454545454545452</v>
      </c>
      <c r="D56">
        <f t="shared" ref="D56:D61" si="20">D47</f>
        <v>19</v>
      </c>
      <c r="E56" s="9">
        <f t="shared" ref="E56:E61" si="21">D56/D$54</f>
        <v>0.296875</v>
      </c>
      <c r="G56" t="s">
        <v>132</v>
      </c>
      <c r="H56">
        <f t="shared" ref="H56:H61" si="22">H47</f>
        <v>121</v>
      </c>
      <c r="I56" s="32">
        <f t="shared" ref="I56:I61" si="23">H56/H$54</f>
        <v>0.37345679012345678</v>
      </c>
      <c r="J56">
        <f t="shared" ref="J56:J61" si="24">J47</f>
        <v>16</v>
      </c>
      <c r="K56" s="9">
        <f t="shared" ref="K56:K61" si="25">J56/J$54</f>
        <v>0.25</v>
      </c>
      <c r="M56" t="s">
        <v>30</v>
      </c>
      <c r="N56" s="35">
        <f>N55+'consistency class  6&gt;M&gt;2'!$B$22+'consistency class  6&gt;M&gt;2'!$C$21+'consistency class  6&gt;M&gt;2'!$D$20+'consistency class  6&gt;M&gt;2'!$E$19+'consistency class  6&gt;M&gt;2'!$F$18+'consistency class  6&gt;M&gt;2'!$G$17+'consistency class  6&gt;M&gt;2'!$H$16</f>
        <v>0.44350282485875703</v>
      </c>
      <c r="O56" s="35">
        <f>O55+B22+C21+D20+E19+F18+G17+H16</f>
        <v>0.42954545454545456</v>
      </c>
      <c r="P56" s="35">
        <f t="shared" si="17"/>
        <v>1.3957370313302464E-2</v>
      </c>
      <c r="S56" s="35"/>
      <c r="T56" s="35"/>
      <c r="U56" s="35"/>
    </row>
    <row r="57" spans="1:21" x14ac:dyDescent="0.25">
      <c r="A57" t="s">
        <v>79</v>
      </c>
      <c r="B57">
        <f t="shared" si="18"/>
        <v>116</v>
      </c>
      <c r="C57" s="11">
        <f t="shared" si="19"/>
        <v>0.26363636363636361</v>
      </c>
      <c r="D57">
        <f t="shared" si="20"/>
        <v>21</v>
      </c>
      <c r="E57" s="9">
        <f t="shared" si="21"/>
        <v>0.328125</v>
      </c>
      <c r="G57" t="s">
        <v>133</v>
      </c>
      <c r="H57">
        <f t="shared" si="22"/>
        <v>189</v>
      </c>
      <c r="I57" s="32">
        <f t="shared" si="23"/>
        <v>0.58333333333333337</v>
      </c>
      <c r="J57">
        <f t="shared" si="24"/>
        <v>28</v>
      </c>
      <c r="K57" s="9">
        <f t="shared" si="25"/>
        <v>0.4375</v>
      </c>
      <c r="M57" t="s">
        <v>31</v>
      </c>
      <c r="N57" s="35">
        <f>N56+'consistency class  6&gt;M&gt;2'!$B$23+'consistency class  6&gt;M&gt;2'!$C$22+'consistency class  6&gt;M&gt;2'!$D$21+'consistency class  6&gt;M&gt;2'!$E$20+'consistency class  6&gt;M&gt;2'!$F$19+'consistency class  6&gt;M&gt;2'!$G$18+'consistency class  6&gt;M&gt;2'!$H$17+'consistency class  6&gt;M&gt;2'!$I$16</f>
        <v>0.7768361581920904</v>
      </c>
      <c r="O57" s="35">
        <f>O56+B23+C22+D21+E20+F19+G18+H17+I16</f>
        <v>0.67272727272727273</v>
      </c>
      <c r="P57" s="35">
        <f t="shared" si="17"/>
        <v>0.10410888546481767</v>
      </c>
      <c r="S57" s="35"/>
      <c r="T57" s="35"/>
      <c r="U57" s="35"/>
    </row>
    <row r="58" spans="1:21" x14ac:dyDescent="0.25">
      <c r="A58" t="s">
        <v>201</v>
      </c>
      <c r="B58">
        <f t="shared" si="18"/>
        <v>6</v>
      </c>
      <c r="C58" s="11">
        <f t="shared" si="19"/>
        <v>1.3636363636363636E-2</v>
      </c>
      <c r="D58">
        <f t="shared" si="20"/>
        <v>3</v>
      </c>
      <c r="E58" s="9">
        <f t="shared" si="21"/>
        <v>4.6875E-2</v>
      </c>
      <c r="G58" t="s">
        <v>199</v>
      </c>
      <c r="H58">
        <f t="shared" si="22"/>
        <v>0</v>
      </c>
      <c r="I58" s="32">
        <f t="shared" si="23"/>
        <v>0</v>
      </c>
      <c r="J58">
        <f t="shared" si="24"/>
        <v>1</v>
      </c>
      <c r="K58" s="9">
        <f t="shared" si="25"/>
        <v>1.5625E-2</v>
      </c>
      <c r="M58" t="s">
        <v>32</v>
      </c>
      <c r="N58" s="35">
        <f>N57+'consistency class  6&gt;M&gt;2'!$C$23+'consistency class  6&gt;M&gt;2'!$D$22+'consistency class  6&gt;M&gt;2'!$E$21+'consistency class  6&gt;M&gt;2'!$F$20+'consistency class  6&gt;M&gt;2'!$G$19+'consistency class  6&gt;M&gt;2'!$H$18+'consistency class  6&gt;M&gt;2'!$I$17</f>
        <v>0.92231638418079087</v>
      </c>
      <c r="O58" s="35">
        <f>O57+C23+D22+E21+F20+G19+H18+I17</f>
        <v>0.78863636363636369</v>
      </c>
      <c r="P58" s="35">
        <f t="shared" si="17"/>
        <v>0.13368002054442718</v>
      </c>
      <c r="S58" s="35"/>
      <c r="T58" s="35"/>
      <c r="U58" s="35"/>
    </row>
    <row r="59" spans="1:21" x14ac:dyDescent="0.25">
      <c r="A59" t="s">
        <v>139</v>
      </c>
      <c r="B59">
        <f t="shared" si="18"/>
        <v>55</v>
      </c>
      <c r="C59" s="11">
        <f t="shared" si="19"/>
        <v>0.125</v>
      </c>
      <c r="D59">
        <f t="shared" si="20"/>
        <v>9</v>
      </c>
      <c r="E59" s="9">
        <f t="shared" si="21"/>
        <v>0.140625</v>
      </c>
      <c r="G59" t="s">
        <v>0</v>
      </c>
      <c r="H59">
        <f t="shared" si="22"/>
        <v>32</v>
      </c>
      <c r="I59" s="32">
        <f t="shared" si="23"/>
        <v>9.8765432098765427E-2</v>
      </c>
      <c r="J59">
        <f t="shared" si="24"/>
        <v>4</v>
      </c>
      <c r="K59" s="9">
        <f t="shared" si="25"/>
        <v>6.25E-2</v>
      </c>
      <c r="M59" t="s">
        <v>33</v>
      </c>
      <c r="N59" s="35">
        <f>N58+'consistency class  6&gt;M&gt;2'!$D$23+'consistency class  6&gt;M&gt;2'!$E$22+'consistency class  6&gt;M&gt;2'!$F$21+'consistency class  6&gt;M&gt;2'!$G$20+'consistency class  6&gt;M&gt;2'!$H$19+'consistency class  6&gt;M&gt;2'!$I$18</f>
        <v>0.97881355932203373</v>
      </c>
      <c r="O59" s="35">
        <f>O58+D23+E22+F21+G20+H19+I18</f>
        <v>0.89090909090909098</v>
      </c>
      <c r="P59" s="35">
        <f t="shared" si="17"/>
        <v>8.7904468412942749E-2</v>
      </c>
      <c r="S59" s="35"/>
      <c r="T59" s="35"/>
      <c r="U59" s="35"/>
    </row>
    <row r="60" spans="1:21" x14ac:dyDescent="0.25">
      <c r="A60" t="s">
        <v>140</v>
      </c>
      <c r="B60">
        <f t="shared" si="18"/>
        <v>89</v>
      </c>
      <c r="C60" s="11">
        <f t="shared" si="19"/>
        <v>0.20227272727272727</v>
      </c>
      <c r="D60">
        <f t="shared" si="20"/>
        <v>19</v>
      </c>
      <c r="E60" s="9">
        <f t="shared" si="21"/>
        <v>0.296875</v>
      </c>
      <c r="G60" t="s">
        <v>143</v>
      </c>
      <c r="H60">
        <f t="shared" si="22"/>
        <v>85</v>
      </c>
      <c r="I60" s="32">
        <f t="shared" si="23"/>
        <v>0.26234567901234568</v>
      </c>
      <c r="J60">
        <f t="shared" si="24"/>
        <v>16</v>
      </c>
      <c r="K60" s="9">
        <f t="shared" si="25"/>
        <v>0.25</v>
      </c>
      <c r="M60" t="s">
        <v>34</v>
      </c>
      <c r="N60" s="35">
        <f>N59+'consistency class  6&gt;M&gt;2'!$E$23+'consistency class  6&gt;M&gt;2'!$F$22+'consistency class  6&gt;M&gt;2'!$G$21+'consistency class  6&gt;M&gt;2'!$H$20+'consistency class  6&gt;M&gt;2'!$I$19</f>
        <v>0.99576271186440657</v>
      </c>
      <c r="O60" s="35">
        <f>O59+E23+F22+G21+H20+I19</f>
        <v>0.93863636363636371</v>
      </c>
      <c r="P60" s="35">
        <f t="shared" si="17"/>
        <v>5.7126348228042856E-2</v>
      </c>
      <c r="R60" s="35"/>
      <c r="S60" s="35"/>
      <c r="T60" s="35"/>
      <c r="U60" s="35"/>
    </row>
    <row r="61" spans="1:21" x14ac:dyDescent="0.25">
      <c r="A61" t="s">
        <v>141</v>
      </c>
      <c r="B61">
        <f t="shared" si="18"/>
        <v>93</v>
      </c>
      <c r="C61" s="11">
        <f t="shared" si="19"/>
        <v>0.21136363636363636</v>
      </c>
      <c r="D61">
        <f t="shared" si="20"/>
        <v>21</v>
      </c>
      <c r="E61" s="9">
        <f t="shared" si="21"/>
        <v>0.328125</v>
      </c>
      <c r="G61" t="s">
        <v>144</v>
      </c>
      <c r="H61">
        <f t="shared" si="22"/>
        <v>144</v>
      </c>
      <c r="I61" s="32">
        <f t="shared" si="23"/>
        <v>0.44444444444444442</v>
      </c>
      <c r="J61">
        <f t="shared" si="24"/>
        <v>28</v>
      </c>
      <c r="K61" s="9">
        <f t="shared" si="25"/>
        <v>0.4375</v>
      </c>
      <c r="M61" t="s">
        <v>35</v>
      </c>
      <c r="N61" s="35">
        <f>N60+'consistency class  6&gt;M&gt;2'!$F$23+'consistency class  6&gt;M&gt;2'!$G$22+'consistency class  6&gt;M&gt;2'!$H$21+'consistency class  6&gt;M&gt;2'!$I$20</f>
        <v>0.99999999999999967</v>
      </c>
      <c r="O61" s="35">
        <f>O60+F23+G22+H21+I20</f>
        <v>0.97272727272727277</v>
      </c>
      <c r="P61" s="35">
        <f t="shared" si="17"/>
        <v>2.7272727272726893E-2</v>
      </c>
    </row>
    <row r="62" spans="1:21" x14ac:dyDescent="0.25">
      <c r="M62" t="s">
        <v>36</v>
      </c>
      <c r="N62" s="35">
        <f>N61+'consistency class  6&gt;M&gt;2'!$G$23+'consistency class  6&gt;M&gt;2'!$H$22+'consistency class  6&gt;M&gt;2'!$I$21</f>
        <v>0.99999999999999967</v>
      </c>
      <c r="O62" s="35">
        <f>O61+G23+H22+I21</f>
        <v>0.9772727272727274</v>
      </c>
      <c r="P62" s="35">
        <f t="shared" si="17"/>
        <v>2.2727272727272263E-2</v>
      </c>
    </row>
    <row r="63" spans="1:21" x14ac:dyDescent="0.25">
      <c r="M63" t="s">
        <v>37</v>
      </c>
      <c r="N63" s="35">
        <f>N62+'consistency class  6&gt;M&gt;2'!$H$23+'consistency class  6&gt;M&gt;2'!$I$22</f>
        <v>0.99999999999999967</v>
      </c>
      <c r="O63" s="35">
        <f>O62+H23+I22</f>
        <v>0.98636363636363655</v>
      </c>
      <c r="P63" s="35">
        <f t="shared" si="17"/>
        <v>1.3636363636363114E-2</v>
      </c>
    </row>
    <row r="64" spans="1:21" x14ac:dyDescent="0.25">
      <c r="M64" t="s">
        <v>38</v>
      </c>
      <c r="N64" s="35">
        <f>N63+'consistency class  6&gt;M&gt;2'!$I$23</f>
        <v>0.99999999999999967</v>
      </c>
      <c r="O64" s="35">
        <f>O63+I23</f>
        <v>1.0000000000000002</v>
      </c>
      <c r="P64" s="35">
        <f t="shared" si="17"/>
        <v>5.5511151231257827E-16</v>
      </c>
    </row>
    <row r="65" spans="13:16" x14ac:dyDescent="0.25">
      <c r="M65" t="s">
        <v>15</v>
      </c>
      <c r="N65" s="35"/>
      <c r="O65" s="35"/>
      <c r="P65" s="35">
        <f>MAX(P50:P64)</f>
        <v>0.13368002054442718</v>
      </c>
    </row>
    <row r="66" spans="13:16" x14ac:dyDescent="0.25">
      <c r="M66" t="s">
        <v>163</v>
      </c>
    </row>
    <row r="67" spans="13:16" x14ac:dyDescent="0.25">
      <c r="M67" t="s">
        <v>40</v>
      </c>
      <c r="N67" s="35">
        <f>'consistency class  6&gt;M&gt;2'!$I$16</f>
        <v>9.887005649717515E-3</v>
      </c>
      <c r="O67" s="35">
        <f>I16</f>
        <v>1.8181818181818181E-2</v>
      </c>
      <c r="P67" s="35">
        <f>ABS(N67-O67)</f>
        <v>8.294812532100666E-3</v>
      </c>
    </row>
    <row r="68" spans="13:16" x14ac:dyDescent="0.25">
      <c r="M68" t="s">
        <v>41</v>
      </c>
      <c r="N68" s="35">
        <f>N67+'consistency class  6&gt;M&gt;2'!$H$16+'consistency class  6&gt;M&gt;2'!$I$17</f>
        <v>1.4124293785310736E-2</v>
      </c>
      <c r="O68" s="35">
        <f>O67+I17+H16</f>
        <v>2.5000000000000001E-2</v>
      </c>
      <c r="P68" s="35">
        <f t="shared" ref="P68:P81" si="26">ABS(N68-O68)</f>
        <v>1.0875706214689265E-2</v>
      </c>
    </row>
    <row r="69" spans="13:16" x14ac:dyDescent="0.25">
      <c r="M69" t="s">
        <v>42</v>
      </c>
      <c r="N69" s="35">
        <f>N68+'consistency class  6&gt;M&gt;2'!$G$16+'consistency class  6&gt;M&gt;2'!$H$17+'consistency class  6&gt;M&gt;2'!$I$18</f>
        <v>2.1186440677966104E-2</v>
      </c>
      <c r="O69" s="35">
        <f>O68+I18+H17+G16</f>
        <v>5.454545454545455E-2</v>
      </c>
      <c r="P69" s="35">
        <f t="shared" si="26"/>
        <v>3.3359013867488449E-2</v>
      </c>
    </row>
    <row r="70" spans="13:16" x14ac:dyDescent="0.25">
      <c r="M70" t="s">
        <v>43</v>
      </c>
      <c r="N70" s="35">
        <f>N69+'consistency class  6&gt;M&gt;2'!$F$16+'consistency class  6&gt;M&gt;2'!$G$17+'consistency class  6&gt;M&gt;2'!$H$18+'consistency class  6&gt;M&gt;2'!$I$19</f>
        <v>4.2372881355932202E-2</v>
      </c>
      <c r="O70" s="35">
        <f>O69+I19+H18+G17+F16</f>
        <v>8.8636363636363652E-2</v>
      </c>
      <c r="P70" s="35">
        <f t="shared" si="26"/>
        <v>4.626348228043145E-2</v>
      </c>
    </row>
    <row r="71" spans="13:16" x14ac:dyDescent="0.25">
      <c r="M71" t="s">
        <v>44</v>
      </c>
      <c r="N71" s="35">
        <f>N70+'consistency class  6&gt;M&gt;2'!$E$16+'consistency class  6&gt;M&gt;2'!$F$17+'consistency class  6&gt;M&gt;2'!$G$18+'consistency class  6&gt;M&gt;2'!$H$19+'consistency class  6&gt;M&gt;2'!$I$20</f>
        <v>9.6045197740112997E-2</v>
      </c>
      <c r="O71" s="35">
        <f>O70+I20+H19+G18+F17+E16</f>
        <v>0.2022727272727273</v>
      </c>
      <c r="P71" s="35">
        <f t="shared" si="26"/>
        <v>0.1062275295326143</v>
      </c>
    </row>
    <row r="72" spans="13:16" x14ac:dyDescent="0.25">
      <c r="M72" t="s">
        <v>45</v>
      </c>
      <c r="N72" s="35">
        <f>N71+'consistency class  6&gt;M&gt;2'!$D$16+'consistency class  6&gt;M&gt;2'!$E$17+'consistency class  6&gt;M&gt;2'!$F$18+'consistency class  6&gt;M&gt;2'!$G$19+'consistency class  6&gt;M&gt;2'!$H$20+'consistency class  6&gt;M&gt;2'!$I$21</f>
        <v>0.18926553672316382</v>
      </c>
      <c r="O72" s="35">
        <f>O71+I21+H20+G19+F18+E17+D16</f>
        <v>0.3</v>
      </c>
      <c r="P72" s="35">
        <f t="shared" si="26"/>
        <v>0.11073446327683617</v>
      </c>
    </row>
    <row r="73" spans="13:16" x14ac:dyDescent="0.25">
      <c r="M73" t="s">
        <v>46</v>
      </c>
      <c r="N73" s="35">
        <f>N72+'consistency class  6&gt;M&gt;2'!$C$16+'consistency class  6&gt;M&gt;2'!$D$17+'consistency class  6&gt;M&gt;2'!$E$18+'consistency class  6&gt;M&gt;2'!$F$19+'consistency class  6&gt;M&gt;2'!$G$20+'consistency class  6&gt;M&gt;2'!$H$21+'consistency class  6&gt;M&gt;2'!$I$22</f>
        <v>0.36299435028248583</v>
      </c>
      <c r="O73" s="35">
        <f>O72+I22+H21+G20+F19+E18+D17+C16</f>
        <v>0.44545454545454544</v>
      </c>
      <c r="P73" s="35">
        <f t="shared" si="26"/>
        <v>8.2460195172059603E-2</v>
      </c>
    </row>
    <row r="74" spans="13:16" x14ac:dyDescent="0.25">
      <c r="M74" t="s">
        <v>47</v>
      </c>
      <c r="N74" s="35">
        <f>N73+'consistency class  6&gt;M&gt;2'!$B$16+'consistency class  6&gt;M&gt;2'!$C$17+'consistency class  6&gt;M&gt;2'!$D$18+'consistency class  6&gt;M&gt;2'!$E$19+'consistency class  6&gt;M&gt;2'!$F$20+'consistency class  6&gt;M&gt;2'!$G$21+'consistency class  6&gt;M&gt;2'!$H$22+'consistency class  6&gt;M&gt;2'!$I$23</f>
        <v>0.52824858757062132</v>
      </c>
      <c r="O74" s="35">
        <f>O73+I23+H22+G21+F20+E19+D18+C17+B16</f>
        <v>0.63636363636363635</v>
      </c>
      <c r="P74" s="35">
        <f t="shared" si="26"/>
        <v>0.10811504879301503</v>
      </c>
    </row>
    <row r="75" spans="13:16" x14ac:dyDescent="0.25">
      <c r="M75" t="s">
        <v>48</v>
      </c>
      <c r="N75" s="35">
        <f>N74+'consistency class  6&gt;M&gt;2'!$B$17+'consistency class  6&gt;M&gt;2'!$C$18+'consistency class  6&gt;M&gt;2'!$D$19+'consistency class  6&gt;M&gt;2'!$E$20+'consistency class  6&gt;M&gt;2'!$F$21+'consistency class  6&gt;M&gt;2'!$G$22+'consistency class  6&gt;M&gt;2'!$H$23</f>
        <v>0.74152542372881325</v>
      </c>
      <c r="O75" s="35">
        <f>O74+H23+G22+F21+E20+D19+C18+B17</f>
        <v>0.78409090909090906</v>
      </c>
      <c r="P75" s="35">
        <f t="shared" si="26"/>
        <v>4.2565485362095812E-2</v>
      </c>
    </row>
    <row r="76" spans="13:16" x14ac:dyDescent="0.25">
      <c r="M76" t="s">
        <v>49</v>
      </c>
      <c r="N76" s="35">
        <f>N75+'consistency class  6&gt;M&gt;2'!$B$18+'consistency class  6&gt;M&gt;2'!$C$19+'consistency class  6&gt;M&gt;2'!$D$20+'consistency class  6&gt;M&gt;2'!$E$21+'consistency class  6&gt;M&gt;2'!$F$22+'consistency class  6&gt;M&gt;2'!$G$23</f>
        <v>0.85310734463276805</v>
      </c>
      <c r="O76" s="35">
        <f>O75+G23+F22+E21+D20+C19+B18</f>
        <v>0.86818181818181817</v>
      </c>
      <c r="P76" s="35">
        <f t="shared" si="26"/>
        <v>1.5074473549050116E-2</v>
      </c>
    </row>
    <row r="77" spans="13:16" x14ac:dyDescent="0.25">
      <c r="M77" t="s">
        <v>50</v>
      </c>
      <c r="N77" s="35">
        <f>N76+'consistency class  6&gt;M&gt;2'!$B$19+'consistency class  6&gt;M&gt;2'!$C$20+'consistency class  6&gt;M&gt;2'!$D$21+'consistency class  6&gt;M&gt;2'!$E$22+'consistency class  6&gt;M&gt;2'!$F$23</f>
        <v>0.94209039548022555</v>
      </c>
      <c r="O77" s="35">
        <f>O76+F23+E22+D21+C20+B19</f>
        <v>0.93409090909090908</v>
      </c>
      <c r="P77" s="35">
        <f t="shared" si="26"/>
        <v>7.999486389316468E-3</v>
      </c>
    </row>
    <row r="78" spans="13:16" x14ac:dyDescent="0.25">
      <c r="M78" t="s">
        <v>51</v>
      </c>
      <c r="N78" s="35">
        <f>N77+'consistency class  6&gt;M&gt;2'!$B$20+'consistency class  6&gt;M&gt;2'!$C$21+'consistency class  6&gt;M&gt;2'!$D$22+'consistency class  6&gt;M&gt;2'!$E$23</f>
        <v>0.98022598870056454</v>
      </c>
      <c r="O78" s="35">
        <f>O77+E23+D22+C21+B20</f>
        <v>0.97499999999999987</v>
      </c>
      <c r="P78" s="35">
        <f t="shared" si="26"/>
        <v>5.2259887005646766E-3</v>
      </c>
    </row>
    <row r="79" spans="13:16" x14ac:dyDescent="0.25">
      <c r="M79" t="s">
        <v>52</v>
      </c>
      <c r="N79" s="35">
        <f>N78+'consistency class  6&gt;M&gt;2'!$B$21+'consistency class  6&gt;M&gt;2'!$C$22+'consistency class  6&gt;M&gt;2'!$D$23</f>
        <v>0.99576271186440635</v>
      </c>
      <c r="O79" s="35">
        <f>O78+D23+C22+B21</f>
        <v>0.99090909090909085</v>
      </c>
      <c r="P79" s="35">
        <f t="shared" si="26"/>
        <v>4.8536209553154963E-3</v>
      </c>
    </row>
    <row r="80" spans="13:16" x14ac:dyDescent="0.25">
      <c r="M80" t="s">
        <v>53</v>
      </c>
      <c r="N80" s="35">
        <f>N79+'consistency class  6&gt;M&gt;2'!$B$22+'consistency class  6&gt;M&gt;2'!$C$23</f>
        <v>0.99858757062146841</v>
      </c>
      <c r="O80" s="35">
        <f>O79+C23+B22</f>
        <v>0.99772727272727268</v>
      </c>
      <c r="P80" s="35">
        <f t="shared" si="26"/>
        <v>8.6029789419572733E-4</v>
      </c>
    </row>
    <row r="81" spans="13:22" x14ac:dyDescent="0.25">
      <c r="M81" t="s">
        <v>54</v>
      </c>
      <c r="N81" s="35">
        <f>N80+'consistency class  6&gt;M&gt;2'!$B$23</f>
        <v>0.99999999999999944</v>
      </c>
      <c r="O81" s="35">
        <f>O80+B23</f>
        <v>1</v>
      </c>
      <c r="P81" s="35">
        <f t="shared" si="26"/>
        <v>5.5511151231257827E-16</v>
      </c>
    </row>
    <row r="82" spans="13:22" x14ac:dyDescent="0.25">
      <c r="M82" t="s">
        <v>15</v>
      </c>
      <c r="P82" s="35">
        <f>MAX(P67:P81)</f>
        <v>0.11073446327683617</v>
      </c>
    </row>
    <row r="84" spans="13:22" x14ac:dyDescent="0.25">
      <c r="M84" s="37" t="s">
        <v>302</v>
      </c>
      <c r="S84" t="s">
        <v>153</v>
      </c>
    </row>
    <row r="85" spans="13:22" x14ac:dyDescent="0.25">
      <c r="M85" t="s">
        <v>160</v>
      </c>
      <c r="N85" t="s">
        <v>239</v>
      </c>
      <c r="O85" t="s">
        <v>241</v>
      </c>
      <c r="P85" t="s">
        <v>39</v>
      </c>
      <c r="S85" t="s">
        <v>145</v>
      </c>
      <c r="T85" t="s">
        <v>146</v>
      </c>
      <c r="U85" t="s">
        <v>150</v>
      </c>
    </row>
    <row r="86" spans="13:22" x14ac:dyDescent="0.25">
      <c r="M86" t="s">
        <v>6</v>
      </c>
      <c r="N86" s="35">
        <f>'consistency class 3&gt;M'!$B$24</f>
        <v>1.1061946902654867E-2</v>
      </c>
      <c r="O86" s="35">
        <f>$B$24</f>
        <v>1.5909090909090907E-2</v>
      </c>
      <c r="P86" s="35">
        <f t="shared" ref="P86:P93" si="27">ABS(N86-O86)</f>
        <v>4.8471440064360403E-3</v>
      </c>
      <c r="S86">
        <v>0.1</v>
      </c>
      <c r="T86">
        <v>1.22</v>
      </c>
      <c r="U86">
        <f>SQRT((S91+S92)/(S91*S92))</f>
        <v>0.1339420270603405</v>
      </c>
      <c r="V86">
        <f>$U$86*T86</f>
        <v>0.16340927301361541</v>
      </c>
    </row>
    <row r="87" spans="13:22" x14ac:dyDescent="0.25">
      <c r="M87" t="s">
        <v>7</v>
      </c>
      <c r="N87" s="35">
        <f>'consistency class 3&gt;M'!$B$24+$C$24</f>
        <v>8.8334674175382141E-2</v>
      </c>
      <c r="O87" s="35">
        <f>$B$24+$C$24</f>
        <v>9.3181818181818171E-2</v>
      </c>
      <c r="P87" s="35">
        <f t="shared" si="27"/>
        <v>4.8471440064360299E-3</v>
      </c>
      <c r="S87">
        <v>0.05</v>
      </c>
      <c r="T87">
        <v>1.36</v>
      </c>
      <c r="V87">
        <f t="shared" ref="V87:V88" si="28">$U$86*T87</f>
        <v>0.1821611568020631</v>
      </c>
    </row>
    <row r="88" spans="13:22" x14ac:dyDescent="0.25">
      <c r="M88" t="s">
        <v>8</v>
      </c>
      <c r="N88" s="35">
        <f>'consistency class 3&gt;M'!$B$24+$C$24+$D$24</f>
        <v>0.26333467417538214</v>
      </c>
      <c r="O88" s="35">
        <f>$B$24+$C$24+$D$24</f>
        <v>0.26818181818181819</v>
      </c>
      <c r="P88" s="35">
        <f t="shared" si="27"/>
        <v>4.8471440064360438E-3</v>
      </c>
      <c r="S88">
        <v>0.01</v>
      </c>
      <c r="T88">
        <v>1.63</v>
      </c>
      <c r="V88">
        <f t="shared" si="28"/>
        <v>0.218325504108355</v>
      </c>
    </row>
    <row r="89" spans="13:22" x14ac:dyDescent="0.25">
      <c r="M89" t="s">
        <v>9</v>
      </c>
      <c r="N89" s="35">
        <f>SUM('consistency class 3&gt;M'!$B$24:$E$24)</f>
        <v>0.76769911504424782</v>
      </c>
      <c r="O89" s="35">
        <f>SUM($B$24:$E$24)</f>
        <v>0.53863636363636358</v>
      </c>
      <c r="P89" s="35">
        <f t="shared" si="27"/>
        <v>0.22906275140788424</v>
      </c>
      <c r="R89" t="s">
        <v>292</v>
      </c>
      <c r="V89" s="35">
        <f>MAX(P94, P104,P121)</f>
        <v>0.22906275140788424</v>
      </c>
    </row>
    <row r="90" spans="13:22" x14ac:dyDescent="0.25">
      <c r="M90" t="s">
        <v>10</v>
      </c>
      <c r="N90" s="35">
        <f>SUM('consistency class 3&gt;M'!$B$24:$F$24)</f>
        <v>0.90486725663716816</v>
      </c>
      <c r="O90" s="35">
        <f>SUM($B$24:$F$24)</f>
        <v>0.70909090909090899</v>
      </c>
      <c r="P90" s="35">
        <f t="shared" si="27"/>
        <v>0.19577634754625917</v>
      </c>
      <c r="S90" t="s">
        <v>147</v>
      </c>
    </row>
    <row r="91" spans="13:22" x14ac:dyDescent="0.25">
      <c r="M91" t="s">
        <v>11</v>
      </c>
      <c r="N91" s="35">
        <f>SUM('consistency class 3&gt;M'!$B$24:$G$24)</f>
        <v>0.98230088495575218</v>
      </c>
      <c r="O91" s="35">
        <f>SUM($B$24:$G$24)</f>
        <v>0.88181818181818172</v>
      </c>
      <c r="P91" s="35">
        <f t="shared" si="27"/>
        <v>0.10048270313757046</v>
      </c>
      <c r="R91" t="s">
        <v>239</v>
      </c>
      <c r="S91">
        <f>'consistency class 3&gt;M'!$J$11/4</f>
        <v>113</v>
      </c>
    </row>
    <row r="92" spans="13:22" x14ac:dyDescent="0.25">
      <c r="M92" t="s">
        <v>12</v>
      </c>
      <c r="N92" s="35">
        <f>SUM('consistency class 3&gt;M'!$B$24:$H$24)</f>
        <v>0.99115044247787609</v>
      </c>
      <c r="O92" s="35">
        <f>SUM($B$24:$H$24)</f>
        <v>0.94545454545454533</v>
      </c>
      <c r="P92" s="35">
        <f t="shared" si="27"/>
        <v>4.5695897023330767E-2</v>
      </c>
      <c r="R92" t="s">
        <v>241</v>
      </c>
      <c r="S92">
        <f>440/4</f>
        <v>110</v>
      </c>
    </row>
    <row r="93" spans="13:22" x14ac:dyDescent="0.25">
      <c r="M93" t="s">
        <v>22</v>
      </c>
      <c r="N93" s="35">
        <f>SUM('consistency class 3&gt;M'!$B$24:$I$24)</f>
        <v>1</v>
      </c>
      <c r="O93" s="35">
        <f>SUM($B$24:$I$24)</f>
        <v>0.99999999999999989</v>
      </c>
      <c r="P93" s="35">
        <f t="shared" si="27"/>
        <v>1.1102230246251565E-16</v>
      </c>
    </row>
    <row r="94" spans="13:22" x14ac:dyDescent="0.25">
      <c r="M94" t="s">
        <v>15</v>
      </c>
      <c r="P94" s="50">
        <f>MAX(P86:P93)</f>
        <v>0.22906275140788424</v>
      </c>
    </row>
    <row r="95" spans="13:22" x14ac:dyDescent="0.25">
      <c r="M95" t="s">
        <v>161</v>
      </c>
    </row>
    <row r="96" spans="13:22" x14ac:dyDescent="0.25">
      <c r="M96" t="s">
        <v>93</v>
      </c>
      <c r="N96" s="35">
        <f>'consistency class 3&gt;M'!$J$16</f>
        <v>7.3008849557522126E-2</v>
      </c>
      <c r="O96" s="35">
        <f>$J$16</f>
        <v>9.3181818181818171E-2</v>
      </c>
      <c r="P96" s="35">
        <f>ABS(N96-O96)</f>
        <v>2.0172968624296045E-2</v>
      </c>
    </row>
    <row r="97" spans="13:21" x14ac:dyDescent="0.25">
      <c r="M97" t="s">
        <v>16</v>
      </c>
      <c r="N97" s="35">
        <f>'consistency class 3&gt;M'!$J$17+N96</f>
        <v>0.10398230088495575</v>
      </c>
      <c r="O97" s="35">
        <f>SUM($J$16:$J$17)</f>
        <v>0.17499999999999999</v>
      </c>
      <c r="P97" s="35">
        <f t="shared" ref="P97:P103" si="29">ABS(N97-O97)</f>
        <v>7.1017699115044242E-2</v>
      </c>
    </row>
    <row r="98" spans="13:21" x14ac:dyDescent="0.25">
      <c r="M98" t="s">
        <v>17</v>
      </c>
      <c r="N98" s="35">
        <f>'consistency class 3&gt;M'!$J$18+N97</f>
        <v>0.26548672566371678</v>
      </c>
      <c r="O98" s="35">
        <f>SUM($J$16:$J$18)</f>
        <v>0.36590909090909085</v>
      </c>
      <c r="P98" s="35">
        <f t="shared" si="29"/>
        <v>0.10042236524537407</v>
      </c>
    </row>
    <row r="99" spans="13:21" x14ac:dyDescent="0.25">
      <c r="M99" t="s">
        <v>18</v>
      </c>
      <c r="N99" s="35">
        <f>'consistency class 3&gt;M'!$J$19+N98</f>
        <v>0.52433628318584069</v>
      </c>
      <c r="O99" s="35">
        <f>SUM($J$16:$J$19)</f>
        <v>0.5431818181818181</v>
      </c>
      <c r="P99" s="35">
        <f t="shared" si="29"/>
        <v>1.8845534995977409E-2</v>
      </c>
    </row>
    <row r="100" spans="13:21" x14ac:dyDescent="0.25">
      <c r="M100" t="s">
        <v>19</v>
      </c>
      <c r="N100" s="35">
        <f>'consistency class 3&gt;M'!$J$20+N99</f>
        <v>0.82964601769911495</v>
      </c>
      <c r="O100" s="35">
        <f>SUM($J$16:$J$20)</f>
        <v>0.76590909090909087</v>
      </c>
      <c r="P100" s="35">
        <f t="shared" si="29"/>
        <v>6.3736926790024073E-2</v>
      </c>
    </row>
    <row r="101" spans="13:21" x14ac:dyDescent="0.25">
      <c r="M101" t="s">
        <v>20</v>
      </c>
      <c r="N101" s="35">
        <f>'consistency class 3&gt;M'!$J$21+N100</f>
        <v>0.94911504424778748</v>
      </c>
      <c r="O101" s="35">
        <f>SUM($J$16:$J$21)</f>
        <v>0.87045454545454537</v>
      </c>
      <c r="P101" s="35">
        <f t="shared" si="29"/>
        <v>7.8660498793242106E-2</v>
      </c>
    </row>
    <row r="102" spans="13:21" x14ac:dyDescent="0.25">
      <c r="M102" t="s">
        <v>21</v>
      </c>
      <c r="N102" s="35">
        <f>'consistency class 3&gt;M'!$J$22+N101</f>
        <v>0.98893805309734506</v>
      </c>
      <c r="O102" s="35">
        <f>SUM($J$16:$J$22)</f>
        <v>0.95909090909090899</v>
      </c>
      <c r="P102" s="35">
        <f t="shared" si="29"/>
        <v>2.9847144006436066E-2</v>
      </c>
    </row>
    <row r="103" spans="13:21" x14ac:dyDescent="0.25">
      <c r="M103" t="s">
        <v>23</v>
      </c>
      <c r="N103" s="35">
        <f>'consistency class 3&gt;M'!$J$23+N102</f>
        <v>0.99999999999999989</v>
      </c>
      <c r="O103" s="35">
        <f>SUM($J$16:$J$23)</f>
        <v>0.99999999999999989</v>
      </c>
      <c r="P103" s="35">
        <f t="shared" si="29"/>
        <v>0</v>
      </c>
    </row>
    <row r="104" spans="13:21" x14ac:dyDescent="0.25">
      <c r="M104" t="s">
        <v>15</v>
      </c>
      <c r="P104" s="35">
        <f>MAX(P96:P103)</f>
        <v>0.10042236524537407</v>
      </c>
      <c r="Q104" s="35"/>
    </row>
    <row r="105" spans="13:21" x14ac:dyDescent="0.25">
      <c r="M105" t="s">
        <v>162</v>
      </c>
    </row>
    <row r="106" spans="13:21" x14ac:dyDescent="0.25">
      <c r="M106" t="s">
        <v>24</v>
      </c>
      <c r="N106" s="35">
        <f>'consistency class 3&gt;M'!$B$16</f>
        <v>2.2123893805309734E-3</v>
      </c>
      <c r="O106" s="35">
        <f>O50</f>
        <v>2.2727272727272726E-3</v>
      </c>
      <c r="P106" s="35">
        <f>ABS(N106-O106)</f>
        <v>6.0337892196299196E-5</v>
      </c>
    </row>
    <row r="107" spans="13:21" x14ac:dyDescent="0.25">
      <c r="M107" t="s">
        <v>25</v>
      </c>
      <c r="N107" s="35">
        <f>N106+'consistency class 3&gt;M'!$B$17+'consistency class 3&gt;M'!$C$16</f>
        <v>1.5486725663716814E-2</v>
      </c>
      <c r="O107" s="35">
        <f t="shared" ref="O107:O120" si="30">O51</f>
        <v>1.5909090909090907E-2</v>
      </c>
      <c r="P107" s="35">
        <f t="shared" ref="P107:P120" si="31">ABS(N107-O107)</f>
        <v>4.2236524537409351E-4</v>
      </c>
      <c r="R107" s="41"/>
    </row>
    <row r="108" spans="13:21" x14ac:dyDescent="0.25">
      <c r="M108" t="s">
        <v>26</v>
      </c>
      <c r="N108" s="35">
        <f>N107+'consistency class 3&gt;M'!$B$18+'consistency class 3&gt;M'!$C$17+'consistency class 3&gt;M'!$D$16</f>
        <v>3.7610619469026552E-2</v>
      </c>
      <c r="O108" s="35">
        <f t="shared" si="30"/>
        <v>3.1818181818181815E-2</v>
      </c>
      <c r="P108" s="35">
        <f t="shared" si="31"/>
        <v>5.7924376508447367E-3</v>
      </c>
      <c r="S108" s="35"/>
      <c r="T108" s="35"/>
      <c r="U108" s="35"/>
    </row>
    <row r="109" spans="13:21" x14ac:dyDescent="0.25">
      <c r="M109" t="s">
        <v>27</v>
      </c>
      <c r="N109" s="35">
        <f>N108+'consistency class 3&gt;M'!$B$19+'consistency class 3&gt;M'!$C$18+'consistency class 3&gt;M'!$D$17+'consistency class 3&gt;M'!$E$16</f>
        <v>5.7522123893805309E-2</v>
      </c>
      <c r="O109" s="35">
        <f t="shared" si="30"/>
        <v>7.9545454545454544E-2</v>
      </c>
      <c r="P109" s="35">
        <f t="shared" si="31"/>
        <v>2.2023330651649235E-2</v>
      </c>
      <c r="S109" s="35"/>
      <c r="T109" s="35"/>
      <c r="U109" s="35"/>
    </row>
    <row r="110" spans="13:21" x14ac:dyDescent="0.25">
      <c r="M110" t="s">
        <v>28</v>
      </c>
      <c r="N110" s="35">
        <f>N109+'consistency class 3&gt;M'!$B$20+'consistency class 3&gt;M'!$C$19+'consistency class 3&gt;M'!$D$18+'consistency class 3&gt;M'!$E$17+'consistency class 3&gt;M'!$F$16</f>
        <v>0.10619469026548672</v>
      </c>
      <c r="O110" s="35">
        <f t="shared" si="30"/>
        <v>0.17500000000000002</v>
      </c>
      <c r="P110" s="35">
        <f t="shared" si="31"/>
        <v>6.8805309734513292E-2</v>
      </c>
      <c r="S110" s="35"/>
      <c r="T110" s="35"/>
      <c r="U110" s="35"/>
    </row>
    <row r="111" spans="13:21" x14ac:dyDescent="0.25">
      <c r="M111" t="s">
        <v>29</v>
      </c>
      <c r="N111" s="35">
        <f>N110+'consistency class 3&gt;M'!$B$21+'consistency class 3&gt;M'!$C$20+'consistency class 3&gt;M'!$D$19+'consistency class 3&gt;M'!$E$18+'consistency class 3&gt;M'!$F$17+'consistency class 3&gt;M'!$G$16</f>
        <v>0.19026548672566373</v>
      </c>
      <c r="O111" s="35">
        <f t="shared" si="30"/>
        <v>0.26363636363636367</v>
      </c>
      <c r="P111" s="35">
        <f t="shared" si="31"/>
        <v>7.3370876910699934E-2</v>
      </c>
      <c r="S111" s="35"/>
      <c r="T111" s="35"/>
      <c r="U111" s="35"/>
    </row>
    <row r="112" spans="13:21" x14ac:dyDescent="0.25">
      <c r="M112" t="s">
        <v>30</v>
      </c>
      <c r="N112" s="35">
        <f>N111+'consistency class 3&gt;M'!$B$22+'consistency class 3&gt;M'!$C$21+'consistency class 3&gt;M'!$D$20+'consistency class 3&gt;M'!$E$19+'consistency class 3&gt;M'!$F$18+'consistency class 3&gt;M'!$G$17+'consistency class 3&gt;M'!$H$16</f>
        <v>0.44911504424778764</v>
      </c>
      <c r="O112" s="35">
        <f t="shared" si="30"/>
        <v>0.42954545454545456</v>
      </c>
      <c r="P112" s="35">
        <f t="shared" si="31"/>
        <v>1.9569589702333079E-2</v>
      </c>
      <c r="S112" s="35"/>
      <c r="T112" s="35"/>
      <c r="U112" s="35"/>
    </row>
    <row r="113" spans="13:21" x14ac:dyDescent="0.25">
      <c r="M113" t="s">
        <v>31</v>
      </c>
      <c r="N113" s="35">
        <f>N112+'consistency class 3&gt;M'!$B$23+'consistency class 3&gt;M'!$C$22+'consistency class 3&gt;M'!$D$21+'consistency class 3&gt;M'!$E$20+'consistency class 3&gt;M'!$F$19+'consistency class 3&gt;M'!$G$18+'consistency class 3&gt;M'!$H$17+'consistency class 3&gt;M'!$I$16</f>
        <v>0.89380530973451322</v>
      </c>
      <c r="O113" s="35">
        <f t="shared" si="30"/>
        <v>0.67272727272727273</v>
      </c>
      <c r="P113" s="35">
        <f t="shared" si="31"/>
        <v>0.22107803700724049</v>
      </c>
      <c r="S113" s="35"/>
      <c r="T113" s="35"/>
      <c r="U113" s="35"/>
    </row>
    <row r="114" spans="13:21" x14ac:dyDescent="0.25">
      <c r="M114" t="s">
        <v>32</v>
      </c>
      <c r="N114" s="35">
        <f>N113+'consistency class 3&gt;M'!$C$23+'consistency class 3&gt;M'!$D$22+'consistency class 3&gt;M'!$E$21+'consistency class 3&gt;M'!$F$20+'consistency class 3&gt;M'!$G$19+'consistency class 3&gt;M'!$H$18+'consistency class 3&gt;M'!$I$17</f>
        <v>0.97787610619469023</v>
      </c>
      <c r="O114" s="35">
        <f t="shared" si="30"/>
        <v>0.78863636363636369</v>
      </c>
      <c r="P114" s="35">
        <f t="shared" si="31"/>
        <v>0.18923974255832654</v>
      </c>
      <c r="S114" s="35"/>
      <c r="T114" s="35"/>
      <c r="U114" s="35"/>
    </row>
    <row r="115" spans="13:21" x14ac:dyDescent="0.25">
      <c r="M115" t="s">
        <v>33</v>
      </c>
      <c r="N115" s="35">
        <f>N114+'consistency class 3&gt;M'!$D$23+'consistency class 3&gt;M'!$E$22+'consistency class 3&gt;M'!$F$21+'consistency class 3&gt;M'!$G$20+'consistency class 3&gt;M'!$H$19+'consistency class 3&gt;M'!$I$18</f>
        <v>0.984513274336283</v>
      </c>
      <c r="O115" s="35">
        <f t="shared" si="30"/>
        <v>0.89090909090909098</v>
      </c>
      <c r="P115" s="35">
        <f t="shared" si="31"/>
        <v>9.3604183427192011E-2</v>
      </c>
      <c r="S115" s="35"/>
      <c r="T115" s="35"/>
      <c r="U115" s="35"/>
    </row>
    <row r="116" spans="13:21" x14ac:dyDescent="0.25">
      <c r="M116" t="s">
        <v>34</v>
      </c>
      <c r="N116" s="35">
        <f>N115+'consistency class 3&gt;M'!$E$23+'consistency class 3&gt;M'!$F$22+'consistency class 3&gt;M'!$G$21+'consistency class 3&gt;M'!$H$20+'consistency class 3&gt;M'!$I$19</f>
        <v>0.99999999999999978</v>
      </c>
      <c r="O116" s="35">
        <f t="shared" si="30"/>
        <v>0.93863636363636371</v>
      </c>
      <c r="P116" s="35">
        <f t="shared" si="31"/>
        <v>6.1363636363636065E-2</v>
      </c>
      <c r="R116" s="35"/>
      <c r="S116" s="35"/>
      <c r="T116" s="35"/>
      <c r="U116" s="35"/>
    </row>
    <row r="117" spans="13:21" x14ac:dyDescent="0.25">
      <c r="M117" t="s">
        <v>35</v>
      </c>
      <c r="N117" s="35">
        <f>N116+'consistency class 3&gt;M'!$F$23+'consistency class 3&gt;M'!$G$22+'consistency class 3&gt;M'!$H$21+'consistency class 3&gt;M'!$I$20</f>
        <v>0.99999999999999978</v>
      </c>
      <c r="O117" s="35">
        <f t="shared" si="30"/>
        <v>0.97272727272727277</v>
      </c>
      <c r="P117" s="35">
        <f t="shared" si="31"/>
        <v>2.7272727272727004E-2</v>
      </c>
    </row>
    <row r="118" spans="13:21" x14ac:dyDescent="0.25">
      <c r="M118" t="s">
        <v>36</v>
      </c>
      <c r="N118" s="35">
        <f>N117+'consistency class 3&gt;M'!$G$23+'consistency class 3&gt;M'!$H$22+'consistency class 3&gt;M'!$I$21</f>
        <v>0.99999999999999978</v>
      </c>
      <c r="O118" s="35">
        <f t="shared" si="30"/>
        <v>0.9772727272727274</v>
      </c>
      <c r="P118" s="35">
        <f t="shared" si="31"/>
        <v>2.2727272727272374E-2</v>
      </c>
    </row>
    <row r="119" spans="13:21" x14ac:dyDescent="0.25">
      <c r="M119" t="s">
        <v>37</v>
      </c>
      <c r="N119" s="35">
        <f>N118+'consistency class 3&gt;M'!$H$23+'consistency class 3&gt;M'!$I$22</f>
        <v>0.99999999999999978</v>
      </c>
      <c r="O119" s="35">
        <f t="shared" si="30"/>
        <v>0.98636363636363655</v>
      </c>
      <c r="P119" s="35">
        <f t="shared" si="31"/>
        <v>1.3636363636363225E-2</v>
      </c>
    </row>
    <row r="120" spans="13:21" x14ac:dyDescent="0.25">
      <c r="M120" t="s">
        <v>38</v>
      </c>
      <c r="N120" s="35">
        <f>N119+'consistency class 3&gt;M'!$I$23</f>
        <v>0.99999999999999978</v>
      </c>
      <c r="O120" s="35">
        <f t="shared" si="30"/>
        <v>1.0000000000000002</v>
      </c>
      <c r="P120" s="35">
        <f t="shared" si="31"/>
        <v>4.4408920985006262E-16</v>
      </c>
    </row>
    <row r="121" spans="13:21" x14ac:dyDescent="0.25">
      <c r="M121" t="s">
        <v>15</v>
      </c>
      <c r="N121" s="35"/>
      <c r="O121" s="35"/>
      <c r="P121" s="35">
        <f>MAX(P106:P120)</f>
        <v>0.22107803700724049</v>
      </c>
    </row>
    <row r="122" spans="13:21" x14ac:dyDescent="0.25">
      <c r="M122" t="s">
        <v>163</v>
      </c>
    </row>
    <row r="123" spans="13:21" x14ac:dyDescent="0.25">
      <c r="M123" t="s">
        <v>40</v>
      </c>
      <c r="N123" s="35">
        <f>'consistency class 3&gt;M'!$I$16</f>
        <v>4.4247787610619468E-3</v>
      </c>
      <c r="O123" s="35">
        <f>O67</f>
        <v>1.8181818181818181E-2</v>
      </c>
      <c r="P123" s="35">
        <f>ABS(N123-O123)</f>
        <v>1.3757039420756234E-2</v>
      </c>
    </row>
    <row r="124" spans="13:21" x14ac:dyDescent="0.25">
      <c r="M124" t="s">
        <v>41</v>
      </c>
      <c r="N124" s="35">
        <f>N123+'consistency class 3&gt;M'!$H$16+'consistency class 3&gt;M'!$I$17</f>
        <v>8.8495575221238937E-3</v>
      </c>
      <c r="O124" s="35">
        <f t="shared" ref="O124:O137" si="32">O68</f>
        <v>2.5000000000000001E-2</v>
      </c>
      <c r="P124" s="35">
        <f t="shared" ref="P124:P137" si="33">ABS(N124-O124)</f>
        <v>1.6150442477876108E-2</v>
      </c>
    </row>
    <row r="125" spans="13:21" x14ac:dyDescent="0.25">
      <c r="M125" t="s">
        <v>42</v>
      </c>
      <c r="N125" s="35">
        <f>N124+'consistency class 3&gt;M'!$G$16+'consistency class 3&gt;M'!$H$17+'consistency class 3&gt;M'!$I$18</f>
        <v>2.6548672566371681E-2</v>
      </c>
      <c r="O125" s="35">
        <f t="shared" si="32"/>
        <v>5.454545454545455E-2</v>
      </c>
      <c r="P125" s="35">
        <f t="shared" si="33"/>
        <v>2.7996781979082869E-2</v>
      </c>
    </row>
    <row r="126" spans="13:21" x14ac:dyDescent="0.25">
      <c r="M126" t="s">
        <v>43</v>
      </c>
      <c r="N126" s="35">
        <f>N125+'consistency class 3&gt;M'!$F$16+'consistency class 3&gt;M'!$G$17+'consistency class 3&gt;M'!$H$18+'consistency class 3&gt;M'!$I$19</f>
        <v>3.9823008849557529E-2</v>
      </c>
      <c r="O126" s="35">
        <f t="shared" si="32"/>
        <v>8.8636363636363652E-2</v>
      </c>
      <c r="P126" s="35">
        <f t="shared" si="33"/>
        <v>4.8813354786806123E-2</v>
      </c>
    </row>
    <row r="127" spans="13:21" x14ac:dyDescent="0.25">
      <c r="M127" t="s">
        <v>44</v>
      </c>
      <c r="N127" s="35">
        <f>N126+'consistency class 3&gt;M'!$E$16+'consistency class 3&gt;M'!$F$17+'consistency class 3&gt;M'!$G$18+'consistency class 3&gt;M'!$H$19+'consistency class 3&gt;M'!$I$20</f>
        <v>9.5132743362831867E-2</v>
      </c>
      <c r="O127" s="35">
        <f t="shared" si="32"/>
        <v>0.2022727272727273</v>
      </c>
      <c r="P127" s="35">
        <f t="shared" si="33"/>
        <v>0.10713998390989543</v>
      </c>
    </row>
    <row r="128" spans="13:21" x14ac:dyDescent="0.25">
      <c r="M128" t="s">
        <v>45</v>
      </c>
      <c r="N128" s="35">
        <f>N127+'consistency class 3&gt;M'!$D$16+'consistency class 3&gt;M'!$E$17+'consistency class 3&gt;M'!$F$18+'consistency class 3&gt;M'!$G$19+'consistency class 3&gt;M'!$H$20+'consistency class 3&gt;M'!$I$21</f>
        <v>0.16150442477876109</v>
      </c>
      <c r="O128" s="35">
        <f t="shared" si="32"/>
        <v>0.3</v>
      </c>
      <c r="P128" s="35">
        <f t="shared" si="33"/>
        <v>0.1384955752212389</v>
      </c>
    </row>
    <row r="129" spans="13:22" x14ac:dyDescent="0.25">
      <c r="M129" t="s">
        <v>46</v>
      </c>
      <c r="N129" s="35">
        <f>N128+'consistency class 3&gt;M'!$C$16+'consistency class 3&gt;M'!$D$17+'consistency class 3&gt;M'!$E$18+'consistency class 3&gt;M'!$F$19+'consistency class 3&gt;M'!$G$20+'consistency class 3&gt;M'!$H$21+'consistency class 3&gt;M'!$I$22</f>
        <v>0.3119469026548673</v>
      </c>
      <c r="O129" s="35">
        <f t="shared" si="32"/>
        <v>0.44545454545454544</v>
      </c>
      <c r="P129" s="35">
        <f t="shared" si="33"/>
        <v>0.13350764279967814</v>
      </c>
    </row>
    <row r="130" spans="13:22" x14ac:dyDescent="0.25">
      <c r="M130" t="s">
        <v>47</v>
      </c>
      <c r="N130" s="35">
        <f>N129+'consistency class 3&gt;M'!$B$16+'consistency class 3&gt;M'!$C$17+'consistency class 3&gt;M'!$D$18+'consistency class 3&gt;M'!$E$19+'consistency class 3&gt;M'!$F$20+'consistency class 3&gt;M'!$G$21+'consistency class 3&gt;M'!$H$22+'consistency class 3&gt;M'!$I$23</f>
        <v>0.54867256637168149</v>
      </c>
      <c r="O130" s="35">
        <f t="shared" si="32"/>
        <v>0.63636363636363635</v>
      </c>
      <c r="P130" s="35">
        <f t="shared" si="33"/>
        <v>8.7691069991954862E-2</v>
      </c>
    </row>
    <row r="131" spans="13:22" x14ac:dyDescent="0.25">
      <c r="M131" t="s">
        <v>48</v>
      </c>
      <c r="N131" s="35">
        <f>N130+'consistency class 3&gt;M'!$B$17+'consistency class 3&gt;M'!$C$18+'consistency class 3&gt;M'!$D$19+'consistency class 3&gt;M'!$E$20+'consistency class 3&gt;M'!$F$21+'consistency class 3&gt;M'!$G$22+'consistency class 3&gt;M'!$H$23</f>
        <v>0.78097345132743379</v>
      </c>
      <c r="O131" s="35">
        <f t="shared" si="32"/>
        <v>0.78409090909090906</v>
      </c>
      <c r="P131" s="35">
        <f t="shared" si="33"/>
        <v>3.1174577634752731E-3</v>
      </c>
    </row>
    <row r="132" spans="13:22" x14ac:dyDescent="0.25">
      <c r="M132" t="s">
        <v>49</v>
      </c>
      <c r="N132" s="35">
        <f>N131+'consistency class 3&gt;M'!$B$18+'consistency class 3&gt;M'!$C$19+'consistency class 3&gt;M'!$D$20+'consistency class 3&gt;M'!$E$21+'consistency class 3&gt;M'!$F$22+'consistency class 3&gt;M'!$G$23</f>
        <v>0.87831858407079666</v>
      </c>
      <c r="O132" s="35">
        <f t="shared" si="32"/>
        <v>0.86818181818181817</v>
      </c>
      <c r="P132" s="35">
        <f t="shared" si="33"/>
        <v>1.0136765888978494E-2</v>
      </c>
    </row>
    <row r="133" spans="13:22" x14ac:dyDescent="0.25">
      <c r="M133" t="s">
        <v>50</v>
      </c>
      <c r="N133" s="35">
        <f>N132+'consistency class 3&gt;M'!$B$19+'consistency class 3&gt;M'!$C$20+'consistency class 3&gt;M'!$D$21+'consistency class 3&gt;M'!$E$22+'consistency class 3&gt;M'!$F$23</f>
        <v>0.95132743362831873</v>
      </c>
      <c r="O133" s="35">
        <f t="shared" si="32"/>
        <v>0.93409090909090908</v>
      </c>
      <c r="P133" s="35">
        <f t="shared" si="33"/>
        <v>1.7236524537409648E-2</v>
      </c>
    </row>
    <row r="134" spans="13:22" x14ac:dyDescent="0.25">
      <c r="M134" t="s">
        <v>51</v>
      </c>
      <c r="N134" s="35">
        <f>N133+'consistency class 3&gt;M'!$B$20+'consistency class 3&gt;M'!$C$21+'consistency class 3&gt;M'!$D$22+'consistency class 3&gt;M'!$E$23</f>
        <v>0.96460176991150459</v>
      </c>
      <c r="O134" s="35">
        <f t="shared" si="32"/>
        <v>0.97499999999999987</v>
      </c>
      <c r="P134" s="35">
        <f t="shared" si="33"/>
        <v>1.0398230088495275E-2</v>
      </c>
    </row>
    <row r="135" spans="13:22" x14ac:dyDescent="0.25">
      <c r="M135" t="s">
        <v>52</v>
      </c>
      <c r="N135" s="35">
        <f>N134+'consistency class 3&gt;M'!$B$21+'consistency class 3&gt;M'!$C$22+'consistency class 3&gt;M'!$D$23</f>
        <v>0.9911504424778762</v>
      </c>
      <c r="O135" s="35">
        <f t="shared" si="32"/>
        <v>0.99090909090909085</v>
      </c>
      <c r="P135" s="35">
        <f t="shared" si="33"/>
        <v>2.4135156878535291E-4</v>
      </c>
    </row>
    <row r="136" spans="13:22" x14ac:dyDescent="0.25">
      <c r="M136" t="s">
        <v>53</v>
      </c>
      <c r="N136" s="35">
        <f>N135+'consistency class 3&gt;M'!$B$22+'consistency class 3&gt;M'!$C$23</f>
        <v>0.9911504424778762</v>
      </c>
      <c r="O136" s="35">
        <f t="shared" si="32"/>
        <v>0.99772727272727268</v>
      </c>
      <c r="P136" s="35">
        <f t="shared" si="33"/>
        <v>6.5768302493964814E-3</v>
      </c>
    </row>
    <row r="137" spans="13:22" x14ac:dyDescent="0.25">
      <c r="M137" t="s">
        <v>54</v>
      </c>
      <c r="N137" s="35">
        <f>N136+'consistency class 3&gt;M'!$B$23</f>
        <v>1</v>
      </c>
      <c r="O137" s="35">
        <f t="shared" si="32"/>
        <v>1</v>
      </c>
      <c r="P137" s="35">
        <f t="shared" si="33"/>
        <v>0</v>
      </c>
    </row>
    <row r="138" spans="13:22" x14ac:dyDescent="0.25">
      <c r="M138" t="s">
        <v>15</v>
      </c>
      <c r="P138" s="35">
        <f>MAX(P123:P137)</f>
        <v>0.1384955752212389</v>
      </c>
    </row>
    <row r="140" spans="13:22" x14ac:dyDescent="0.25">
      <c r="M140" s="37" t="s">
        <v>303</v>
      </c>
      <c r="S140" t="s">
        <v>153</v>
      </c>
    </row>
    <row r="141" spans="13:22" x14ac:dyDescent="0.25">
      <c r="M141" t="s">
        <v>160</v>
      </c>
      <c r="N141" t="s">
        <v>304</v>
      </c>
      <c r="O141" t="s">
        <v>301</v>
      </c>
      <c r="P141" t="s">
        <v>39</v>
      </c>
      <c r="S141" t="s">
        <v>145</v>
      </c>
      <c r="T141" t="s">
        <v>146</v>
      </c>
      <c r="U141" t="s">
        <v>150</v>
      </c>
    </row>
    <row r="142" spans="13:22" x14ac:dyDescent="0.25">
      <c r="M142" t="s">
        <v>6</v>
      </c>
      <c r="N142" s="35">
        <f>'consistency class 3&gt;M'!$B$24</f>
        <v>1.1061946902654867E-2</v>
      </c>
      <c r="O142" s="35">
        <f>'consistency class  6&gt;M&gt;2'!$B$24</f>
        <v>7.0621468926553672E-3</v>
      </c>
      <c r="P142" s="35">
        <f t="shared" ref="P142:P149" si="34">ABS(N142-O142)</f>
        <v>3.9998000099994999E-3</v>
      </c>
      <c r="S142">
        <v>0.1</v>
      </c>
      <c r="T142">
        <v>1.22</v>
      </c>
      <c r="U142">
        <f>SQRT((S147+S148)/(S147*S148))</f>
        <v>0.1204129355021635</v>
      </c>
      <c r="V142">
        <f>$U$142*T142</f>
        <v>0.14690378131263948</v>
      </c>
    </row>
    <row r="143" spans="13:22" x14ac:dyDescent="0.25">
      <c r="M143" t="s">
        <v>7</v>
      </c>
      <c r="N143" s="35">
        <f>'consistency class 3&gt;M'!$B$24+$C$24</f>
        <v>8.8334674175382141E-2</v>
      </c>
      <c r="O143" s="35">
        <f>'consistency class  6&gt;M&gt;2'!$B$24+$C$24</f>
        <v>8.4334874165382642E-2</v>
      </c>
      <c r="P143" s="35">
        <f t="shared" si="34"/>
        <v>3.999800009999499E-3</v>
      </c>
      <c r="S143">
        <v>0.05</v>
      </c>
      <c r="T143">
        <v>1.36</v>
      </c>
      <c r="V143">
        <f t="shared" ref="V143:V144" si="35">$U$142*T143</f>
        <v>0.16376159228294238</v>
      </c>
    </row>
    <row r="144" spans="13:22" x14ac:dyDescent="0.25">
      <c r="M144" t="s">
        <v>8</v>
      </c>
      <c r="N144" s="35">
        <f>'consistency class 3&gt;M'!$B$24+$C$24+$D$24</f>
        <v>0.26333467417538214</v>
      </c>
      <c r="O144" s="35">
        <f>'consistency class  6&gt;M&gt;2'!$B$24+$C$24+$D$24</f>
        <v>0.25933487416538265</v>
      </c>
      <c r="P144" s="35">
        <f t="shared" si="34"/>
        <v>3.999800009999499E-3</v>
      </c>
      <c r="S144">
        <v>0.01</v>
      </c>
      <c r="T144">
        <v>1.63</v>
      </c>
      <c r="V144">
        <f t="shared" si="35"/>
        <v>0.19627308486852649</v>
      </c>
    </row>
    <row r="145" spans="13:22" x14ac:dyDescent="0.25">
      <c r="M145" t="s">
        <v>9</v>
      </c>
      <c r="N145" s="35">
        <f>SUM('consistency class 3&gt;M'!$B$24:$E$24)</f>
        <v>0.76769911504424782</v>
      </c>
      <c r="O145" s="35">
        <f>SUM('consistency class  6&gt;M&gt;2'!$B$24:$E$24)</f>
        <v>0.67231638418079098</v>
      </c>
      <c r="P145" s="35">
        <f t="shared" si="34"/>
        <v>9.5382730863456833E-2</v>
      </c>
      <c r="R145" t="s">
        <v>293</v>
      </c>
      <c r="V145" s="35">
        <f>MAX(P150, P160, P177)</f>
        <v>0.11696915154242282</v>
      </c>
    </row>
    <row r="146" spans="13:22" x14ac:dyDescent="0.25">
      <c r="M146" t="s">
        <v>10</v>
      </c>
      <c r="N146" s="35">
        <f>SUM('consistency class 3&gt;M'!$B$24:$F$24)</f>
        <v>0.90486725663716816</v>
      </c>
      <c r="O146" s="35">
        <f>SUM('consistency class  6&gt;M&gt;2'!$B$24:$F$24)</f>
        <v>0.8728813559322034</v>
      </c>
      <c r="P146" s="35">
        <f t="shared" si="34"/>
        <v>3.1985900704964765E-2</v>
      </c>
      <c r="S146" t="s">
        <v>147</v>
      </c>
    </row>
    <row r="147" spans="13:22" x14ac:dyDescent="0.25">
      <c r="M147" t="s">
        <v>11</v>
      </c>
      <c r="N147" s="35">
        <f>SUM('consistency class 3&gt;M'!$B$24:$G$24)</f>
        <v>0.98230088495575218</v>
      </c>
      <c r="O147" s="35">
        <f>SUM('consistency class  6&gt;M&gt;2'!$B$24:$G$24)</f>
        <v>0.96892655367231639</v>
      </c>
      <c r="P147" s="35">
        <f t="shared" si="34"/>
        <v>1.3374331283435792E-2</v>
      </c>
      <c r="R147" t="s">
        <v>239</v>
      </c>
      <c r="S147">
        <f>'consistency class 3&gt;M'!$J$11/4</f>
        <v>113</v>
      </c>
    </row>
    <row r="148" spans="13:22" x14ac:dyDescent="0.25">
      <c r="M148" t="s">
        <v>12</v>
      </c>
      <c r="N148" s="35">
        <f>SUM('consistency class 3&gt;M'!$B$24:$H$24)</f>
        <v>0.99115044247787609</v>
      </c>
      <c r="O148" s="35">
        <f>SUM('consistency class  6&gt;M&gt;2'!$B$24:$H$24)</f>
        <v>0.98587570621468923</v>
      </c>
      <c r="P148" s="35">
        <f t="shared" si="34"/>
        <v>5.2747362631868633E-3</v>
      </c>
      <c r="R148" t="s">
        <v>301</v>
      </c>
      <c r="S148">
        <f>'consistency class  6&gt;M&gt;2'!$J$11/4</f>
        <v>177</v>
      </c>
    </row>
    <row r="149" spans="13:22" x14ac:dyDescent="0.25">
      <c r="M149" t="s">
        <v>22</v>
      </c>
      <c r="N149" s="35">
        <f>SUM('consistency class 3&gt;M'!$B$24:$I$24)</f>
        <v>1</v>
      </c>
      <c r="O149" s="35">
        <f>SUM('consistency class  6&gt;M&gt;2'!$B$24:$I$24)</f>
        <v>1</v>
      </c>
      <c r="P149" s="35">
        <f t="shared" si="34"/>
        <v>0</v>
      </c>
    </row>
    <row r="150" spans="13:22" x14ac:dyDescent="0.25">
      <c r="M150" t="s">
        <v>15</v>
      </c>
      <c r="O150" s="35"/>
      <c r="P150" s="35">
        <f>MAX(P142:P149)</f>
        <v>9.5382730863456833E-2</v>
      </c>
    </row>
    <row r="151" spans="13:22" x14ac:dyDescent="0.25">
      <c r="M151" t="s">
        <v>161</v>
      </c>
      <c r="O151" s="35"/>
    </row>
    <row r="152" spans="13:22" x14ac:dyDescent="0.25">
      <c r="M152" t="s">
        <v>93</v>
      </c>
      <c r="N152" s="35">
        <f>'consistency class 3&gt;M'!$J$16</f>
        <v>7.3008849557522126E-2</v>
      </c>
      <c r="O152" s="35">
        <f>'consistency class  6&gt;M&gt;2'!$J$16</f>
        <v>3.8135593220338979E-2</v>
      </c>
      <c r="P152" s="35">
        <f>ABS(N152-O152)</f>
        <v>3.4873256337183148E-2</v>
      </c>
    </row>
    <row r="153" spans="13:22" x14ac:dyDescent="0.25">
      <c r="M153" t="s">
        <v>16</v>
      </c>
      <c r="N153" s="35">
        <f>'consistency class 3&gt;M'!$J$17+N152</f>
        <v>0.10398230088495575</v>
      </c>
      <c r="O153" s="35">
        <f>'consistency class  6&gt;M&gt;2'!$J$17+O152</f>
        <v>9.1807909604519761E-2</v>
      </c>
      <c r="P153" s="35">
        <f t="shared" ref="P153:P159" si="36">ABS(N153-O153)</f>
        <v>1.2174391280435987E-2</v>
      </c>
    </row>
    <row r="154" spans="13:22" x14ac:dyDescent="0.25">
      <c r="M154" t="s">
        <v>17</v>
      </c>
      <c r="N154" s="35">
        <f>'consistency class 3&gt;M'!$J$18+N153</f>
        <v>0.26548672566371678</v>
      </c>
      <c r="O154" s="35">
        <f>'consistency class  6&gt;M&gt;2'!$J$18+O153</f>
        <v>0.28813559322033894</v>
      </c>
      <c r="P154" s="35">
        <f t="shared" si="36"/>
        <v>2.2648867556622154E-2</v>
      </c>
    </row>
    <row r="155" spans="13:22" x14ac:dyDescent="0.25">
      <c r="M155" t="s">
        <v>18</v>
      </c>
      <c r="N155" s="35">
        <f>'consistency class 3&gt;M'!$J$19+N154</f>
        <v>0.52433628318584069</v>
      </c>
      <c r="O155" s="35">
        <f>'consistency class  6&gt;M&gt;2'!$J$19+O154</f>
        <v>0.49435028248587565</v>
      </c>
      <c r="P155" s="35">
        <f t="shared" si="36"/>
        <v>2.9986000699965043E-2</v>
      </c>
    </row>
    <row r="156" spans="13:22" x14ac:dyDescent="0.25">
      <c r="M156" t="s">
        <v>19</v>
      </c>
      <c r="N156" s="35">
        <f>'consistency class 3&gt;M'!$J$20+N155</f>
        <v>0.82964601769911495</v>
      </c>
      <c r="O156" s="35">
        <f>'consistency class  6&gt;M&gt;2'!$J$20+O155</f>
        <v>0.80084745762711851</v>
      </c>
      <c r="P156" s="35">
        <f t="shared" si="36"/>
        <v>2.8798560071996437E-2</v>
      </c>
    </row>
    <row r="157" spans="13:22" x14ac:dyDescent="0.25">
      <c r="M157" t="s">
        <v>20</v>
      </c>
      <c r="N157" s="35">
        <f>'consistency class 3&gt;M'!$J$21+N156</f>
        <v>0.94911504424778748</v>
      </c>
      <c r="O157" s="35">
        <f>'consistency class  6&gt;M&gt;2'!$J$21+O156</f>
        <v>0.93361581920903935</v>
      </c>
      <c r="P157" s="35">
        <f t="shared" si="36"/>
        <v>1.5499225038748121E-2</v>
      </c>
    </row>
    <row r="158" spans="13:22" x14ac:dyDescent="0.25">
      <c r="M158" t="s">
        <v>21</v>
      </c>
      <c r="N158" s="35">
        <f>'consistency class 3&gt;M'!$J$22+N157</f>
        <v>0.98893805309734506</v>
      </c>
      <c r="O158" s="35">
        <f>'consistency class  6&gt;M&gt;2'!$J$22+O157</f>
        <v>0.9929378531073445</v>
      </c>
      <c r="P158" s="35">
        <f t="shared" si="36"/>
        <v>3.9998000099994435E-3</v>
      </c>
    </row>
    <row r="159" spans="13:22" x14ac:dyDescent="0.25">
      <c r="M159" t="s">
        <v>23</v>
      </c>
      <c r="N159" s="35">
        <f>'consistency class 3&gt;M'!$J$23+N158</f>
        <v>0.99999999999999989</v>
      </c>
      <c r="O159" s="35">
        <f>'consistency class  6&gt;M&gt;2'!$J$23+O158</f>
        <v>0.99999999999999989</v>
      </c>
      <c r="P159" s="35">
        <f t="shared" si="36"/>
        <v>0</v>
      </c>
    </row>
    <row r="160" spans="13:22" x14ac:dyDescent="0.25">
      <c r="M160" t="s">
        <v>15</v>
      </c>
      <c r="O160" s="35"/>
      <c r="P160" s="35">
        <f>MAX(P152:P159)</f>
        <v>3.4873256337183148E-2</v>
      </c>
      <c r="Q160" s="35"/>
    </row>
    <row r="161" spans="13:21" x14ac:dyDescent="0.25">
      <c r="M161" t="s">
        <v>162</v>
      </c>
      <c r="O161" s="35"/>
    </row>
    <row r="162" spans="13:21" x14ac:dyDescent="0.25">
      <c r="M162" t="s">
        <v>24</v>
      </c>
      <c r="N162" s="35">
        <f>'consistency class 3&gt;M'!$B$16</f>
        <v>2.2123893805309734E-3</v>
      </c>
      <c r="O162" s="35">
        <f>'consistency class  6&gt;M&gt;2'!$B$16</f>
        <v>0</v>
      </c>
      <c r="P162" s="35">
        <f>ABS(N162-O162)</f>
        <v>2.2123893805309734E-3</v>
      </c>
    </row>
    <row r="163" spans="13:21" x14ac:dyDescent="0.25">
      <c r="M163" t="s">
        <v>25</v>
      </c>
      <c r="N163" s="35">
        <f>N162+'consistency class 3&gt;M'!$B$17+'consistency class 3&gt;M'!$C$16</f>
        <v>1.5486725663716814E-2</v>
      </c>
      <c r="O163" s="35">
        <f>O162+'consistency class  6&gt;M&gt;2'!$B$17+'consistency class  6&gt;M&gt;2'!$C$16</f>
        <v>0</v>
      </c>
      <c r="P163" s="35">
        <f t="shared" ref="P163:P176" si="37">ABS(N163-O163)</f>
        <v>1.5486725663716814E-2</v>
      </c>
      <c r="R163" s="41"/>
    </row>
    <row r="164" spans="13:21" x14ac:dyDescent="0.25">
      <c r="M164" t="s">
        <v>26</v>
      </c>
      <c r="N164" s="35">
        <f>N163+'consistency class 3&gt;M'!$B$18+'consistency class 3&gt;M'!$C$17+'consistency class 3&gt;M'!$D$16</f>
        <v>3.7610619469026552E-2</v>
      </c>
      <c r="O164" s="35">
        <f>O163+'consistency class  6&gt;M&gt;2'!$B$18+'consistency class  6&gt;M&gt;2'!$C$17+'consistency class  6&gt;M&gt;2'!$D$16</f>
        <v>9.8870056497175132E-3</v>
      </c>
      <c r="P164" s="35">
        <f t="shared" si="37"/>
        <v>2.7723613819309038E-2</v>
      </c>
      <c r="S164" s="35"/>
      <c r="T164" s="35"/>
      <c r="U164" s="35"/>
    </row>
    <row r="165" spans="13:21" x14ac:dyDescent="0.25">
      <c r="M165" t="s">
        <v>27</v>
      </c>
      <c r="N165" s="35">
        <f>N164+'consistency class 3&gt;M'!$B$19+'consistency class 3&gt;M'!$C$18+'consistency class 3&gt;M'!$D$17+'consistency class 3&gt;M'!$E$16</f>
        <v>5.7522123893805309E-2</v>
      </c>
      <c r="O165" s="35">
        <f>O164+'consistency class  6&gt;M&gt;2'!$B$19+'consistency class  6&gt;M&gt;2'!$C$18+'consistency class  6&gt;M&gt;2'!$D$17+'consistency class  6&gt;M&gt;2'!$E$16</f>
        <v>3.3898305084745763E-2</v>
      </c>
      <c r="P165" s="35">
        <f t="shared" si="37"/>
        <v>2.3623818809059546E-2</v>
      </c>
      <c r="S165" s="35"/>
      <c r="T165" s="35"/>
      <c r="U165" s="35"/>
    </row>
    <row r="166" spans="13:21" x14ac:dyDescent="0.25">
      <c r="M166" t="s">
        <v>28</v>
      </c>
      <c r="N166" s="35">
        <f>N165+'consistency class 3&gt;M'!$B$20+'consistency class 3&gt;M'!$C$19+'consistency class 3&gt;M'!$D$18+'consistency class 3&gt;M'!$E$17+'consistency class 3&gt;M'!$F$16</f>
        <v>0.10619469026548672</v>
      </c>
      <c r="O166" s="35">
        <f>O165+'consistency class  6&gt;M&gt;2'!$B$20+'consistency class  6&gt;M&gt;2'!$C$19+'consistency class  6&gt;M&gt;2'!$D$18+'consistency class  6&gt;M&gt;2'!$E$17+'consistency class  6&gt;M&gt;2'!$F$16</f>
        <v>9.8870056497175146E-2</v>
      </c>
      <c r="P166" s="35">
        <f t="shared" si="37"/>
        <v>7.3246337683115781E-3</v>
      </c>
      <c r="S166" s="35"/>
      <c r="T166" s="35"/>
      <c r="U166" s="35"/>
    </row>
    <row r="167" spans="13:21" x14ac:dyDescent="0.25">
      <c r="M167" t="s">
        <v>29</v>
      </c>
      <c r="N167" s="35">
        <f>N166+'consistency class 3&gt;M'!$B$21+'consistency class 3&gt;M'!$C$20+'consistency class 3&gt;M'!$D$19+'consistency class 3&gt;M'!$E$18+'consistency class 3&gt;M'!$F$17+'consistency class 3&gt;M'!$G$16</f>
        <v>0.19026548672566373</v>
      </c>
      <c r="O167" s="35">
        <f>O166+'consistency class  6&gt;M&gt;2'!$B$21+'consistency class  6&gt;M&gt;2'!$C$20+'consistency class  6&gt;M&gt;2'!$D$19+'consistency class  6&gt;M&gt;2'!$E$18+'consistency class  6&gt;M&gt;2'!$F$17+'consistency class  6&gt;M&gt;2'!$G$16</f>
        <v>0.2443502824858757</v>
      </c>
      <c r="P167" s="35">
        <f t="shared" si="37"/>
        <v>5.4084795760211968E-2</v>
      </c>
      <c r="S167" s="35"/>
      <c r="T167" s="35"/>
      <c r="U167" s="35"/>
    </row>
    <row r="168" spans="13:21" x14ac:dyDescent="0.25">
      <c r="M168" t="s">
        <v>30</v>
      </c>
      <c r="N168" s="35">
        <f>N167+'consistency class 3&gt;M'!$B$22+'consistency class 3&gt;M'!$C$21+'consistency class 3&gt;M'!$D$20+'consistency class 3&gt;M'!$E$19+'consistency class 3&gt;M'!$F$18+'consistency class 3&gt;M'!$G$17+'consistency class 3&gt;M'!$H$16</f>
        <v>0.44911504424778764</v>
      </c>
      <c r="O168" s="35">
        <f>O167+'consistency class  6&gt;M&gt;2'!$B$22+'consistency class  6&gt;M&gt;2'!$C$21+'consistency class  6&gt;M&gt;2'!$D$20+'consistency class  6&gt;M&gt;2'!$E$19+'consistency class  6&gt;M&gt;2'!$F$18+'consistency class  6&gt;M&gt;2'!$G$17+'consistency class  6&gt;M&gt;2'!$H$16</f>
        <v>0.44350282485875703</v>
      </c>
      <c r="P168" s="35">
        <f t="shared" si="37"/>
        <v>5.6122193890306149E-3</v>
      </c>
      <c r="S168" s="35"/>
      <c r="T168" s="35"/>
      <c r="U168" s="35"/>
    </row>
    <row r="169" spans="13:21" x14ac:dyDescent="0.25">
      <c r="M169" t="s">
        <v>31</v>
      </c>
      <c r="N169" s="35">
        <f>N168+'consistency class 3&gt;M'!$B$23+'consistency class 3&gt;M'!$C$22+'consistency class 3&gt;M'!$D$21+'consistency class 3&gt;M'!$E$20+'consistency class 3&gt;M'!$F$19+'consistency class 3&gt;M'!$G$18+'consistency class 3&gt;M'!$H$17+'consistency class 3&gt;M'!$I$16</f>
        <v>0.89380530973451322</v>
      </c>
      <c r="O169" s="35">
        <f>O168+'consistency class  6&gt;M&gt;2'!$B$23+'consistency class  6&gt;M&gt;2'!$C$22+'consistency class  6&gt;M&gt;2'!$D$21+'consistency class  6&gt;M&gt;2'!$E$20+'consistency class  6&gt;M&gt;2'!$F$19+'consistency class  6&gt;M&gt;2'!$G$18+'consistency class  6&gt;M&gt;2'!$H$17+'consistency class  6&gt;M&gt;2'!$I$16</f>
        <v>0.7768361581920904</v>
      </c>
      <c r="P169" s="35">
        <f t="shared" si="37"/>
        <v>0.11696915154242282</v>
      </c>
      <c r="S169" s="35"/>
      <c r="T169" s="35"/>
      <c r="U169" s="35"/>
    </row>
    <row r="170" spans="13:21" x14ac:dyDescent="0.25">
      <c r="M170" t="s">
        <v>32</v>
      </c>
      <c r="N170" s="35">
        <f>N169+'consistency class 3&gt;M'!$C$23+'consistency class 3&gt;M'!$D$22+'consistency class 3&gt;M'!$E$21+'consistency class 3&gt;M'!$F$20+'consistency class 3&gt;M'!$G$19+'consistency class 3&gt;M'!$H$18+'consistency class 3&gt;M'!$I$17</f>
        <v>0.97787610619469023</v>
      </c>
      <c r="O170" s="35">
        <f>O169+'consistency class  6&gt;M&gt;2'!$C$23+'consistency class  6&gt;M&gt;2'!$D$22+'consistency class  6&gt;M&gt;2'!$E$21+'consistency class  6&gt;M&gt;2'!$F$20+'consistency class  6&gt;M&gt;2'!$G$19+'consistency class  6&gt;M&gt;2'!$H$18+'consistency class  6&gt;M&gt;2'!$I$17</f>
        <v>0.92231638418079087</v>
      </c>
      <c r="P170" s="35">
        <f t="shared" si="37"/>
        <v>5.555972201389936E-2</v>
      </c>
      <c r="S170" s="35"/>
      <c r="T170" s="35"/>
      <c r="U170" s="35"/>
    </row>
    <row r="171" spans="13:21" x14ac:dyDescent="0.25">
      <c r="M171" t="s">
        <v>33</v>
      </c>
      <c r="N171" s="35">
        <f>N170+'consistency class 3&gt;M'!$D$23+'consistency class 3&gt;M'!$E$22+'consistency class 3&gt;M'!$F$21+'consistency class 3&gt;M'!$G$20+'consistency class 3&gt;M'!$H$19+'consistency class 3&gt;M'!$I$18</f>
        <v>0.984513274336283</v>
      </c>
      <c r="O171" s="35">
        <f>O170+'consistency class  6&gt;M&gt;2'!$D$23+'consistency class  6&gt;M&gt;2'!$E$22+'consistency class  6&gt;M&gt;2'!$F$21+'consistency class  6&gt;M&gt;2'!$G$20+'consistency class  6&gt;M&gt;2'!$H$19+'consistency class  6&gt;M&gt;2'!$I$18</f>
        <v>0.97881355932203373</v>
      </c>
      <c r="P171" s="35">
        <f t="shared" si="37"/>
        <v>5.6997150142492625E-3</v>
      </c>
      <c r="S171" s="35"/>
      <c r="T171" s="35"/>
      <c r="U171" s="35"/>
    </row>
    <row r="172" spans="13:21" x14ac:dyDescent="0.25">
      <c r="M172" t="s">
        <v>34</v>
      </c>
      <c r="N172" s="35">
        <f>N171+'consistency class 3&gt;M'!$E$23+'consistency class 3&gt;M'!$F$22+'consistency class 3&gt;M'!$G$21+'consistency class 3&gt;M'!$H$20+'consistency class 3&gt;M'!$I$19</f>
        <v>0.99999999999999978</v>
      </c>
      <c r="O172" s="35">
        <f>O171+'consistency class  6&gt;M&gt;2'!$E$23+'consistency class  6&gt;M&gt;2'!$F$22+'consistency class  6&gt;M&gt;2'!$G$21+'consistency class  6&gt;M&gt;2'!$H$20+'consistency class  6&gt;M&gt;2'!$I$19</f>
        <v>0.99576271186440657</v>
      </c>
      <c r="P172" s="35">
        <f t="shared" si="37"/>
        <v>4.237288135593209E-3</v>
      </c>
      <c r="R172" s="35"/>
      <c r="S172" s="35"/>
      <c r="T172" s="35"/>
      <c r="U172" s="35"/>
    </row>
    <row r="173" spans="13:21" x14ac:dyDescent="0.25">
      <c r="M173" t="s">
        <v>35</v>
      </c>
      <c r="N173" s="35">
        <f>N172+'consistency class 3&gt;M'!$F$23+'consistency class 3&gt;M'!$G$22+'consistency class 3&gt;M'!$H$21+'consistency class 3&gt;M'!$I$20</f>
        <v>0.99999999999999978</v>
      </c>
      <c r="O173" s="35">
        <f>O172+'consistency class  6&gt;M&gt;2'!$F$23+'consistency class  6&gt;M&gt;2'!$G$22+'consistency class  6&gt;M&gt;2'!$H$21+'consistency class  6&gt;M&gt;2'!$I$20</f>
        <v>0.99999999999999967</v>
      </c>
      <c r="P173" s="35">
        <f t="shared" si="37"/>
        <v>1.1102230246251565E-16</v>
      </c>
    </row>
    <row r="174" spans="13:21" x14ac:dyDescent="0.25">
      <c r="M174" t="s">
        <v>36</v>
      </c>
      <c r="N174" s="35">
        <f>N173+'consistency class 3&gt;M'!$G$23+'consistency class 3&gt;M'!$H$22+'consistency class 3&gt;M'!$I$21</f>
        <v>0.99999999999999978</v>
      </c>
      <c r="O174" s="35">
        <f>O173+'consistency class  6&gt;M&gt;2'!$G$23+'consistency class  6&gt;M&gt;2'!$H$22+'consistency class  6&gt;M&gt;2'!$I$21</f>
        <v>0.99999999999999967</v>
      </c>
      <c r="P174" s="35">
        <f t="shared" si="37"/>
        <v>1.1102230246251565E-16</v>
      </c>
    </row>
    <row r="175" spans="13:21" x14ac:dyDescent="0.25">
      <c r="M175" t="s">
        <v>37</v>
      </c>
      <c r="N175" s="35">
        <f>N174+'consistency class 3&gt;M'!$H$23+'consistency class 3&gt;M'!$I$22</f>
        <v>0.99999999999999978</v>
      </c>
      <c r="O175" s="35">
        <f>O174+'consistency class  6&gt;M&gt;2'!$H$23+'consistency class  6&gt;M&gt;2'!$I$22</f>
        <v>0.99999999999999967</v>
      </c>
      <c r="P175" s="35">
        <f t="shared" si="37"/>
        <v>1.1102230246251565E-16</v>
      </c>
    </row>
    <row r="176" spans="13:21" x14ac:dyDescent="0.25">
      <c r="M176" t="s">
        <v>38</v>
      </c>
      <c r="N176" s="35">
        <f>N175+'consistency class 3&gt;M'!$I$23</f>
        <v>0.99999999999999978</v>
      </c>
      <c r="O176" s="35">
        <f>O175+'consistency class  6&gt;M&gt;2'!$I$23</f>
        <v>0.99999999999999967</v>
      </c>
      <c r="P176" s="35">
        <f t="shared" si="37"/>
        <v>1.1102230246251565E-16</v>
      </c>
    </row>
    <row r="177" spans="13:16" x14ac:dyDescent="0.25">
      <c r="M177" t="s">
        <v>15</v>
      </c>
      <c r="N177" s="35"/>
      <c r="O177" s="35"/>
      <c r="P177" s="35">
        <f>MAX(P162:P176)</f>
        <v>0.11696915154242282</v>
      </c>
    </row>
    <row r="178" spans="13:16" x14ac:dyDescent="0.25">
      <c r="M178" t="s">
        <v>163</v>
      </c>
      <c r="O178" s="35"/>
    </row>
    <row r="179" spans="13:16" x14ac:dyDescent="0.25">
      <c r="M179" t="s">
        <v>40</v>
      </c>
      <c r="N179" s="35">
        <f>'consistency class 3&gt;M'!$I$16</f>
        <v>4.4247787610619468E-3</v>
      </c>
      <c r="O179" s="35">
        <f>'consistency class  6&gt;M&gt;2'!$I$16</f>
        <v>9.887005649717515E-3</v>
      </c>
      <c r="P179" s="35">
        <f>ABS(N179-O179)</f>
        <v>5.4622268886555681E-3</v>
      </c>
    </row>
    <row r="180" spans="13:16" x14ac:dyDescent="0.25">
      <c r="M180" t="s">
        <v>41</v>
      </c>
      <c r="N180" s="35">
        <f>N179+'consistency class 3&gt;M'!$H$16+'consistency class 3&gt;M'!$I$17</f>
        <v>8.8495575221238937E-3</v>
      </c>
      <c r="O180" s="35">
        <f>O179+'consistency class  6&gt;M&gt;2'!$H$16+'consistency class  6&gt;M&gt;2'!$I$17</f>
        <v>1.4124293785310736E-2</v>
      </c>
      <c r="P180" s="35">
        <f t="shared" ref="P180:P193" si="38">ABS(N180-O180)</f>
        <v>5.2747362631868425E-3</v>
      </c>
    </row>
    <row r="181" spans="13:16" x14ac:dyDescent="0.25">
      <c r="M181" t="s">
        <v>42</v>
      </c>
      <c r="N181" s="35">
        <f>N180+'consistency class 3&gt;M'!$G$16+'consistency class 3&gt;M'!$H$17+'consistency class 3&gt;M'!$I$18</f>
        <v>2.6548672566371681E-2</v>
      </c>
      <c r="O181" s="35">
        <f>O180+'consistency class  6&gt;M&gt;2'!$G$16+'consistency class  6&gt;M&gt;2'!$H$17+'consistency class  6&gt;M&gt;2'!$I$18</f>
        <v>2.1186440677966104E-2</v>
      </c>
      <c r="P181" s="35">
        <f t="shared" si="38"/>
        <v>5.3622318884055768E-3</v>
      </c>
    </row>
    <row r="182" spans="13:16" x14ac:dyDescent="0.25">
      <c r="M182" t="s">
        <v>43</v>
      </c>
      <c r="N182" s="35">
        <f>N181+'consistency class 3&gt;M'!$F$16+'consistency class 3&gt;M'!$G$17+'consistency class 3&gt;M'!$H$18+'consistency class 3&gt;M'!$I$19</f>
        <v>3.9823008849557529E-2</v>
      </c>
      <c r="O182" s="35">
        <f>O181+'consistency class  6&gt;M&gt;2'!$F$16+'consistency class  6&gt;M&gt;2'!$G$17+'consistency class  6&gt;M&gt;2'!$H$18+'consistency class  6&gt;M&gt;2'!$I$19</f>
        <v>4.2372881355932202E-2</v>
      </c>
      <c r="P182" s="35">
        <f t="shared" si="38"/>
        <v>2.549872506374673E-3</v>
      </c>
    </row>
    <row r="183" spans="13:16" x14ac:dyDescent="0.25">
      <c r="M183" t="s">
        <v>44</v>
      </c>
      <c r="N183" s="35">
        <f>N182+'consistency class 3&gt;M'!$E$16+'consistency class 3&gt;M'!$F$17+'consistency class 3&gt;M'!$G$18+'consistency class 3&gt;M'!$H$19+'consistency class 3&gt;M'!$I$20</f>
        <v>9.5132743362831867E-2</v>
      </c>
      <c r="O183" s="35">
        <f>O182+'consistency class  6&gt;M&gt;2'!$E$16+'consistency class  6&gt;M&gt;2'!$F$17+'consistency class  6&gt;M&gt;2'!$G$18+'consistency class  6&gt;M&gt;2'!$H$19+'consistency class  6&gt;M&gt;2'!$I$20</f>
        <v>9.6045197740112997E-2</v>
      </c>
      <c r="P183" s="35">
        <f t="shared" si="38"/>
        <v>9.1245437728112999E-4</v>
      </c>
    </row>
    <row r="184" spans="13:16" x14ac:dyDescent="0.25">
      <c r="M184" t="s">
        <v>45</v>
      </c>
      <c r="N184" s="35">
        <f>N183+'consistency class 3&gt;M'!$D$16+'consistency class 3&gt;M'!$E$17+'consistency class 3&gt;M'!$F$18+'consistency class 3&gt;M'!$G$19+'consistency class 3&gt;M'!$H$20+'consistency class 3&gt;M'!$I$21</f>
        <v>0.16150442477876109</v>
      </c>
      <c r="O184" s="35">
        <f>O183+'consistency class  6&gt;M&gt;2'!$D$16+'consistency class  6&gt;M&gt;2'!$E$17+'consistency class  6&gt;M&gt;2'!$F$18+'consistency class  6&gt;M&gt;2'!$G$19+'consistency class  6&gt;M&gt;2'!$H$20+'consistency class  6&gt;M&gt;2'!$I$21</f>
        <v>0.18926553672316382</v>
      </c>
      <c r="P184" s="35">
        <f t="shared" si="38"/>
        <v>2.7761111944402728E-2</v>
      </c>
    </row>
    <row r="185" spans="13:16" x14ac:dyDescent="0.25">
      <c r="M185" t="s">
        <v>46</v>
      </c>
      <c r="N185" s="35">
        <f>N184+'consistency class 3&gt;M'!$C$16+'consistency class 3&gt;M'!$D$17+'consistency class 3&gt;M'!$E$18+'consistency class 3&gt;M'!$F$19+'consistency class 3&gt;M'!$G$20+'consistency class 3&gt;M'!$H$21+'consistency class 3&gt;M'!$I$22</f>
        <v>0.3119469026548673</v>
      </c>
      <c r="O185" s="35">
        <f>O184+'consistency class  6&gt;M&gt;2'!$C$16+'consistency class  6&gt;M&gt;2'!$D$17+'consistency class  6&gt;M&gt;2'!$E$18+'consistency class  6&gt;M&gt;2'!$F$19+'consistency class  6&gt;M&gt;2'!$G$20+'consistency class  6&gt;M&gt;2'!$H$21+'consistency class  6&gt;M&gt;2'!$I$22</f>
        <v>0.36299435028248583</v>
      </c>
      <c r="P185" s="35">
        <f t="shared" si="38"/>
        <v>5.1047447627618536E-2</v>
      </c>
    </row>
    <row r="186" spans="13:16" x14ac:dyDescent="0.25">
      <c r="M186" t="s">
        <v>47</v>
      </c>
      <c r="N186" s="35">
        <f>N185+'consistency class 3&gt;M'!$B$16+'consistency class 3&gt;M'!$C$17+'consistency class 3&gt;M'!$D$18+'consistency class 3&gt;M'!$E$19+'consistency class 3&gt;M'!$F$20+'consistency class 3&gt;M'!$G$21+'consistency class 3&gt;M'!$H$22+'consistency class 3&gt;M'!$I$23</f>
        <v>0.54867256637168149</v>
      </c>
      <c r="O186" s="35">
        <f>O185+'consistency class  6&gt;M&gt;2'!$B$16+'consistency class  6&gt;M&gt;2'!$C$17+'consistency class  6&gt;M&gt;2'!$D$18+'consistency class  6&gt;M&gt;2'!$E$19+'consistency class  6&gt;M&gt;2'!$F$20+'consistency class  6&gt;M&gt;2'!$G$21+'consistency class  6&gt;M&gt;2'!$H$22+'consistency class  6&gt;M&gt;2'!$I$23</f>
        <v>0.52824858757062132</v>
      </c>
      <c r="P186" s="35">
        <f t="shared" si="38"/>
        <v>2.0423978801060172E-2</v>
      </c>
    </row>
    <row r="187" spans="13:16" x14ac:dyDescent="0.25">
      <c r="M187" t="s">
        <v>48</v>
      </c>
      <c r="N187" s="35">
        <f>N186+'consistency class 3&gt;M'!$B$17+'consistency class 3&gt;M'!$C$18+'consistency class 3&gt;M'!$D$19+'consistency class 3&gt;M'!$E$20+'consistency class 3&gt;M'!$F$21+'consistency class 3&gt;M'!$G$22+'consistency class 3&gt;M'!$H$23</f>
        <v>0.78097345132743379</v>
      </c>
      <c r="O187" s="35">
        <f>O186+'consistency class  6&gt;M&gt;2'!$B$17+'consistency class  6&gt;M&gt;2'!$C$18+'consistency class  6&gt;M&gt;2'!$D$19+'consistency class  6&gt;M&gt;2'!$E$20+'consistency class  6&gt;M&gt;2'!$F$21+'consistency class  6&gt;M&gt;2'!$G$22+'consistency class  6&gt;M&gt;2'!$H$23</f>
        <v>0.74152542372881325</v>
      </c>
      <c r="P187" s="35">
        <f t="shared" si="38"/>
        <v>3.9448027598620539E-2</v>
      </c>
    </row>
    <row r="188" spans="13:16" x14ac:dyDescent="0.25">
      <c r="M188" t="s">
        <v>49</v>
      </c>
      <c r="N188" s="35">
        <f>N187+'consistency class 3&gt;M'!$B$18+'consistency class 3&gt;M'!$C$19+'consistency class 3&gt;M'!$D$20+'consistency class 3&gt;M'!$E$21+'consistency class 3&gt;M'!$F$22+'consistency class 3&gt;M'!$G$23</f>
        <v>0.87831858407079666</v>
      </c>
      <c r="O188" s="35">
        <f>O187+'consistency class  6&gt;M&gt;2'!$B$18+'consistency class  6&gt;M&gt;2'!$C$19+'consistency class  6&gt;M&gt;2'!$D$20+'consistency class  6&gt;M&gt;2'!$E$21+'consistency class  6&gt;M&gt;2'!$F$22+'consistency class  6&gt;M&gt;2'!$G$23</f>
        <v>0.85310734463276805</v>
      </c>
      <c r="P188" s="35">
        <f t="shared" si="38"/>
        <v>2.521123943802861E-2</v>
      </c>
    </row>
    <row r="189" spans="13:16" x14ac:dyDescent="0.25">
      <c r="M189" t="s">
        <v>50</v>
      </c>
      <c r="N189" s="35">
        <f>N188+'consistency class 3&gt;M'!$B$19+'consistency class 3&gt;M'!$C$20+'consistency class 3&gt;M'!$D$21+'consistency class 3&gt;M'!$E$22+'consistency class 3&gt;M'!$F$23</f>
        <v>0.95132743362831873</v>
      </c>
      <c r="O189" s="35">
        <f>O188+'consistency class  6&gt;M&gt;2'!$B$19+'consistency class  6&gt;M&gt;2'!$C$20+'consistency class  6&gt;M&gt;2'!$D$21+'consistency class  6&gt;M&gt;2'!$E$22+'consistency class  6&gt;M&gt;2'!$F$23</f>
        <v>0.94209039548022555</v>
      </c>
      <c r="P189" s="35">
        <f t="shared" si="38"/>
        <v>9.2370381480931796E-3</v>
      </c>
    </row>
    <row r="190" spans="13:16" x14ac:dyDescent="0.25">
      <c r="M190" t="s">
        <v>51</v>
      </c>
      <c r="N190" s="35">
        <f>N189+'consistency class 3&gt;M'!$B$20+'consistency class 3&gt;M'!$C$21+'consistency class 3&gt;M'!$D$22+'consistency class 3&gt;M'!$E$23</f>
        <v>0.96460176991150459</v>
      </c>
      <c r="O190" s="35">
        <f>O189+'consistency class  6&gt;M&gt;2'!$B$20+'consistency class  6&gt;M&gt;2'!$C$21+'consistency class  6&gt;M&gt;2'!$D$22+'consistency class  6&gt;M&gt;2'!$E$23</f>
        <v>0.98022598870056454</v>
      </c>
      <c r="P190" s="35">
        <f t="shared" si="38"/>
        <v>1.5624218789059952E-2</v>
      </c>
    </row>
    <row r="191" spans="13:16" x14ac:dyDescent="0.25">
      <c r="M191" t="s">
        <v>52</v>
      </c>
      <c r="N191" s="35">
        <f>N190+'consistency class 3&gt;M'!$B$21+'consistency class 3&gt;M'!$C$22+'consistency class 3&gt;M'!$D$23</f>
        <v>0.9911504424778762</v>
      </c>
      <c r="O191" s="35">
        <f>O190+'consistency class  6&gt;M&gt;2'!$B$21+'consistency class  6&gt;M&gt;2'!$C$22+'consistency class  6&gt;M&gt;2'!$D$23</f>
        <v>0.99576271186440635</v>
      </c>
      <c r="P191" s="35">
        <f t="shared" si="38"/>
        <v>4.6122693865301434E-3</v>
      </c>
    </row>
    <row r="192" spans="13:16" x14ac:dyDescent="0.25">
      <c r="M192" t="s">
        <v>53</v>
      </c>
      <c r="N192" s="35">
        <f>N191+'consistency class 3&gt;M'!$B$22+'consistency class 3&gt;M'!$C$23</f>
        <v>0.9911504424778762</v>
      </c>
      <c r="O192" s="35">
        <f>O191+'consistency class  6&gt;M&gt;2'!$B$22+'consistency class  6&gt;M&gt;2'!$C$23</f>
        <v>0.99858757062146841</v>
      </c>
      <c r="P192" s="35">
        <f t="shared" si="38"/>
        <v>7.4371281435922088E-3</v>
      </c>
    </row>
    <row r="193" spans="13:16" x14ac:dyDescent="0.25">
      <c r="M193" t="s">
        <v>54</v>
      </c>
      <c r="N193" s="35">
        <f>N192+'consistency class 3&gt;M'!$B$23</f>
        <v>1</v>
      </c>
      <c r="O193" s="35">
        <f>O192+'consistency class  6&gt;M&gt;2'!$B$23</f>
        <v>0.99999999999999944</v>
      </c>
      <c r="P193" s="35">
        <f t="shared" si="38"/>
        <v>5.5511151231257827E-16</v>
      </c>
    </row>
    <row r="194" spans="13:16" x14ac:dyDescent="0.25">
      <c r="M194" t="s">
        <v>15</v>
      </c>
      <c r="P194" s="35">
        <f>MAX(P179:P193)</f>
        <v>5.1047447627618536E-2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topLeftCell="K39" workbookViewId="0">
      <selection activeCell="AD63" sqref="AD63"/>
    </sheetView>
  </sheetViews>
  <sheetFormatPr defaultRowHeight="15" x14ac:dyDescent="0.25"/>
  <sheetData>
    <row r="1" spans="1:21" x14ac:dyDescent="0.25">
      <c r="A1" s="1" t="s">
        <v>238</v>
      </c>
      <c r="J1" s="4" t="s">
        <v>58</v>
      </c>
      <c r="K1" s="4" t="s">
        <v>90</v>
      </c>
    </row>
    <row r="2" spans="1:21" x14ac:dyDescent="0.25">
      <c r="A2" s="1" t="s">
        <v>61</v>
      </c>
      <c r="J2" s="4"/>
      <c r="K2" s="4"/>
    </row>
    <row r="3" spans="1:21" x14ac:dyDescent="0.25">
      <c r="A3" s="2" t="s">
        <v>55</v>
      </c>
      <c r="B3">
        <v>0</v>
      </c>
      <c r="C3">
        <v>0</v>
      </c>
      <c r="D3">
        <v>5</v>
      </c>
      <c r="E3">
        <v>5</v>
      </c>
      <c r="F3">
        <v>4</v>
      </c>
      <c r="G3">
        <v>4</v>
      </c>
      <c r="H3">
        <v>2</v>
      </c>
      <c r="I3">
        <v>7</v>
      </c>
      <c r="J3" s="46">
        <f>SUM(B3:I3)</f>
        <v>27</v>
      </c>
      <c r="K3" s="12">
        <f>J3/J$11</f>
        <v>3.8135593220338986E-2</v>
      </c>
    </row>
    <row r="4" spans="1:21" x14ac:dyDescent="0.25">
      <c r="A4" s="3" t="s">
        <v>56</v>
      </c>
      <c r="B4">
        <v>0</v>
      </c>
      <c r="C4">
        <v>2</v>
      </c>
      <c r="D4">
        <v>9</v>
      </c>
      <c r="E4">
        <v>11</v>
      </c>
      <c r="F4">
        <v>9</v>
      </c>
      <c r="G4">
        <v>5</v>
      </c>
      <c r="H4">
        <v>1</v>
      </c>
      <c r="I4">
        <v>1</v>
      </c>
      <c r="J4" s="46">
        <f t="shared" ref="J4:J11" si="0">SUM(B4:I4)</f>
        <v>38</v>
      </c>
      <c r="K4" s="12">
        <f t="shared" ref="K4:K10" si="1">J4/J$11</f>
        <v>5.3672316384180789E-2</v>
      </c>
    </row>
    <row r="5" spans="1:21" x14ac:dyDescent="0.25">
      <c r="A5" t="s">
        <v>57</v>
      </c>
      <c r="B5">
        <v>0</v>
      </c>
      <c r="C5">
        <v>3</v>
      </c>
      <c r="D5">
        <v>27</v>
      </c>
      <c r="E5">
        <v>51</v>
      </c>
      <c r="F5">
        <v>31</v>
      </c>
      <c r="G5">
        <v>22</v>
      </c>
      <c r="H5">
        <v>5</v>
      </c>
      <c r="I5">
        <v>0</v>
      </c>
      <c r="J5" s="46">
        <f t="shared" si="0"/>
        <v>139</v>
      </c>
      <c r="K5" s="12">
        <f t="shared" si="1"/>
        <v>0.1963276836158192</v>
      </c>
    </row>
    <row r="6" spans="1:21" x14ac:dyDescent="0.25">
      <c r="A6" t="s">
        <v>59</v>
      </c>
      <c r="B6">
        <v>0</v>
      </c>
      <c r="C6">
        <v>1</v>
      </c>
      <c r="D6">
        <v>30</v>
      </c>
      <c r="E6">
        <v>48</v>
      </c>
      <c r="F6">
        <v>49</v>
      </c>
      <c r="G6">
        <v>16</v>
      </c>
      <c r="H6">
        <v>1</v>
      </c>
      <c r="I6">
        <v>1</v>
      </c>
      <c r="J6" s="46">
        <f t="shared" si="0"/>
        <v>146</v>
      </c>
      <c r="K6" s="12">
        <f t="shared" si="1"/>
        <v>0.20621468926553671</v>
      </c>
    </row>
    <row r="7" spans="1:21" x14ac:dyDescent="0.25">
      <c r="A7" t="s">
        <v>60</v>
      </c>
      <c r="B7">
        <v>3</v>
      </c>
      <c r="C7">
        <v>9</v>
      </c>
      <c r="D7">
        <v>48</v>
      </c>
      <c r="E7">
        <v>105</v>
      </c>
      <c r="F7">
        <v>34</v>
      </c>
      <c r="G7">
        <v>14</v>
      </c>
      <c r="H7">
        <v>3</v>
      </c>
      <c r="I7">
        <v>1</v>
      </c>
      <c r="J7" s="46">
        <f t="shared" si="0"/>
        <v>217</v>
      </c>
      <c r="K7" s="12">
        <f t="shared" si="1"/>
        <v>0.30649717514124292</v>
      </c>
    </row>
    <row r="8" spans="1:21" x14ac:dyDescent="0.25">
      <c r="A8" t="s">
        <v>62</v>
      </c>
      <c r="B8">
        <v>0</v>
      </c>
      <c r="C8">
        <v>6</v>
      </c>
      <c r="D8">
        <v>42</v>
      </c>
      <c r="E8">
        <v>28</v>
      </c>
      <c r="F8">
        <v>12</v>
      </c>
      <c r="G8">
        <v>6</v>
      </c>
      <c r="H8">
        <v>0</v>
      </c>
      <c r="I8">
        <v>0</v>
      </c>
      <c r="J8" s="46">
        <f t="shared" si="0"/>
        <v>94</v>
      </c>
      <c r="K8" s="12">
        <f t="shared" si="1"/>
        <v>0.1327683615819209</v>
      </c>
    </row>
    <row r="9" spans="1:21" x14ac:dyDescent="0.25">
      <c r="A9" t="s">
        <v>63</v>
      </c>
      <c r="B9">
        <v>1</v>
      </c>
      <c r="C9">
        <v>9</v>
      </c>
      <c r="D9">
        <v>18</v>
      </c>
      <c r="E9">
        <v>11</v>
      </c>
      <c r="F9">
        <v>2</v>
      </c>
      <c r="G9">
        <v>1</v>
      </c>
      <c r="H9">
        <v>0</v>
      </c>
      <c r="I9">
        <v>0</v>
      </c>
      <c r="J9" s="46">
        <f t="shared" si="0"/>
        <v>42</v>
      </c>
      <c r="K9" s="12">
        <f t="shared" si="1"/>
        <v>5.9322033898305086E-2</v>
      </c>
    </row>
    <row r="10" spans="1:21" x14ac:dyDescent="0.25">
      <c r="A10" t="s">
        <v>64</v>
      </c>
      <c r="B10">
        <v>1</v>
      </c>
      <c r="C10">
        <v>1</v>
      </c>
      <c r="D10">
        <v>2</v>
      </c>
      <c r="E10">
        <v>0</v>
      </c>
      <c r="F10">
        <v>1</v>
      </c>
      <c r="G10">
        <v>0</v>
      </c>
      <c r="H10">
        <v>0</v>
      </c>
      <c r="I10">
        <v>0</v>
      </c>
      <c r="J10" s="46">
        <f t="shared" si="0"/>
        <v>5</v>
      </c>
      <c r="K10" s="12">
        <f t="shared" si="1"/>
        <v>7.0621468926553672E-3</v>
      </c>
    </row>
    <row r="11" spans="1:21" x14ac:dyDescent="0.25">
      <c r="A11" s="5" t="s">
        <v>65</v>
      </c>
      <c r="B11" s="45">
        <f>SUM(B3:B10)</f>
        <v>5</v>
      </c>
      <c r="C11" s="45">
        <f t="shared" ref="C11:I11" si="2">SUM(C3:C10)</f>
        <v>31</v>
      </c>
      <c r="D11" s="45">
        <f t="shared" si="2"/>
        <v>181</v>
      </c>
      <c r="E11" s="45">
        <f t="shared" si="2"/>
        <v>259</v>
      </c>
      <c r="F11" s="45">
        <f t="shared" si="2"/>
        <v>142</v>
      </c>
      <c r="G11" s="45">
        <f t="shared" si="2"/>
        <v>68</v>
      </c>
      <c r="H11" s="45">
        <f t="shared" si="2"/>
        <v>12</v>
      </c>
      <c r="I11" s="45">
        <f t="shared" si="2"/>
        <v>10</v>
      </c>
      <c r="J11" s="46">
        <f t="shared" si="0"/>
        <v>708</v>
      </c>
      <c r="K11" s="4"/>
    </row>
    <row r="12" spans="1:21" x14ac:dyDescent="0.25">
      <c r="A12" s="5" t="s">
        <v>91</v>
      </c>
      <c r="B12" s="13">
        <f>B11/$J$11</f>
        <v>7.0621468926553672E-3</v>
      </c>
      <c r="C12" s="13">
        <f t="shared" ref="C12:I12" si="3">C11/$J$11</f>
        <v>4.3785310734463276E-2</v>
      </c>
      <c r="D12" s="13">
        <f t="shared" si="3"/>
        <v>0.2556497175141243</v>
      </c>
      <c r="E12" s="13">
        <f t="shared" si="3"/>
        <v>0.36581920903954801</v>
      </c>
      <c r="F12" s="13">
        <f t="shared" si="3"/>
        <v>0.20056497175141244</v>
      </c>
      <c r="G12" s="13">
        <f t="shared" si="3"/>
        <v>9.6045197740112997E-2</v>
      </c>
      <c r="H12" s="13">
        <f t="shared" si="3"/>
        <v>1.6949152542372881E-2</v>
      </c>
      <c r="I12" s="13">
        <f t="shared" si="3"/>
        <v>1.4124293785310734E-2</v>
      </c>
      <c r="J12" s="19">
        <f>SUM(B12:I12)</f>
        <v>0.99999999999999989</v>
      </c>
      <c r="K12" s="4"/>
    </row>
    <row r="13" spans="1:21" x14ac:dyDescent="0.25">
      <c r="A13" s="5" t="s">
        <v>88</v>
      </c>
      <c r="B13" s="6" t="s">
        <v>64</v>
      </c>
      <c r="C13" s="6" t="s">
        <v>63</v>
      </c>
      <c r="D13" s="6" t="s">
        <v>62</v>
      </c>
      <c r="E13" s="6" t="s">
        <v>60</v>
      </c>
      <c r="F13" s="6" t="s">
        <v>59</v>
      </c>
      <c r="G13" s="6" t="s">
        <v>57</v>
      </c>
      <c r="H13" s="6" t="s">
        <v>89</v>
      </c>
      <c r="I13" s="6" t="s">
        <v>55</v>
      </c>
      <c r="J13" s="4"/>
      <c r="K13" s="4"/>
    </row>
    <row r="14" spans="1:21" x14ac:dyDescent="0.25">
      <c r="A14" s="8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M14" s="8"/>
      <c r="N14" s="7"/>
      <c r="O14" s="7"/>
      <c r="P14" s="7"/>
    </row>
    <row r="15" spans="1:21" x14ac:dyDescent="0.25">
      <c r="A15" s="1" t="s">
        <v>61</v>
      </c>
      <c r="J15" s="4"/>
      <c r="K15" s="4"/>
      <c r="M15" s="1"/>
    </row>
    <row r="16" spans="1:21" x14ac:dyDescent="0.25">
      <c r="A16" s="2" t="s">
        <v>55</v>
      </c>
      <c r="B16" s="47">
        <f>B3/$J$11</f>
        <v>0</v>
      </c>
      <c r="C16" s="47">
        <f t="shared" ref="C16:I16" si="4">C3/$J$11</f>
        <v>0</v>
      </c>
      <c r="D16" s="47">
        <f t="shared" si="4"/>
        <v>7.0621468926553672E-3</v>
      </c>
      <c r="E16" s="47">
        <f t="shared" si="4"/>
        <v>7.0621468926553672E-3</v>
      </c>
      <c r="F16" s="47">
        <f t="shared" si="4"/>
        <v>5.6497175141242938E-3</v>
      </c>
      <c r="G16" s="47">
        <f t="shared" si="4"/>
        <v>5.6497175141242938E-3</v>
      </c>
      <c r="H16" s="47">
        <f t="shared" si="4"/>
        <v>2.8248587570621469E-3</v>
      </c>
      <c r="I16" s="47">
        <f t="shared" si="4"/>
        <v>9.887005649717515E-3</v>
      </c>
      <c r="J16" s="48">
        <f>SUM(B16:I16)</f>
        <v>3.8135593220338979E-2</v>
      </c>
      <c r="K16" s="12"/>
      <c r="M16" s="2"/>
      <c r="N16" s="20"/>
      <c r="O16" s="20"/>
      <c r="P16" s="20"/>
      <c r="Q16" s="20"/>
      <c r="R16" s="20"/>
      <c r="S16" s="20"/>
      <c r="T16" s="20"/>
      <c r="U16" s="20"/>
    </row>
    <row r="17" spans="1:21" x14ac:dyDescent="0.25">
      <c r="A17" s="3" t="s">
        <v>56</v>
      </c>
      <c r="B17" s="47">
        <f t="shared" ref="B17:I23" si="5">B4/$J$11</f>
        <v>0</v>
      </c>
      <c r="C17" s="47">
        <f t="shared" si="5"/>
        <v>2.8248587570621469E-3</v>
      </c>
      <c r="D17" s="47">
        <f t="shared" si="5"/>
        <v>1.2711864406779662E-2</v>
      </c>
      <c r="E17" s="47">
        <f t="shared" si="5"/>
        <v>1.5536723163841809E-2</v>
      </c>
      <c r="F17" s="47">
        <f t="shared" si="5"/>
        <v>1.2711864406779662E-2</v>
      </c>
      <c r="G17" s="47">
        <f t="shared" si="5"/>
        <v>7.0621468926553672E-3</v>
      </c>
      <c r="H17" s="47">
        <f t="shared" si="5"/>
        <v>1.4124293785310734E-3</v>
      </c>
      <c r="I17" s="47">
        <f t="shared" si="5"/>
        <v>1.4124293785310734E-3</v>
      </c>
      <c r="J17" s="48">
        <f t="shared" ref="J17:J23" si="6">SUM(B17:I17)</f>
        <v>5.3672316384180789E-2</v>
      </c>
      <c r="K17" s="12"/>
      <c r="M17" s="3"/>
      <c r="N17" s="20"/>
      <c r="O17" s="20"/>
      <c r="P17" s="20"/>
      <c r="Q17" s="20"/>
      <c r="R17" s="20"/>
      <c r="S17" s="20"/>
      <c r="T17" s="20"/>
      <c r="U17" s="20"/>
    </row>
    <row r="18" spans="1:21" x14ac:dyDescent="0.25">
      <c r="A18" t="s">
        <v>57</v>
      </c>
      <c r="B18" s="47">
        <f t="shared" si="5"/>
        <v>0</v>
      </c>
      <c r="C18" s="47">
        <f t="shared" si="5"/>
        <v>4.2372881355932203E-3</v>
      </c>
      <c r="D18" s="47">
        <f t="shared" si="5"/>
        <v>3.8135593220338986E-2</v>
      </c>
      <c r="E18" s="47">
        <f t="shared" si="5"/>
        <v>7.2033898305084748E-2</v>
      </c>
      <c r="F18" s="47">
        <f t="shared" si="5"/>
        <v>4.3785310734463276E-2</v>
      </c>
      <c r="G18" s="47">
        <f t="shared" si="5"/>
        <v>3.1073446327683617E-2</v>
      </c>
      <c r="H18" s="47">
        <f t="shared" si="5"/>
        <v>7.0621468926553672E-3</v>
      </c>
      <c r="I18" s="47">
        <f t="shared" si="5"/>
        <v>0</v>
      </c>
      <c r="J18" s="48">
        <f t="shared" si="6"/>
        <v>0.19632768361581918</v>
      </c>
      <c r="K18" s="12"/>
      <c r="N18" s="20"/>
      <c r="O18" s="20"/>
      <c r="P18" s="20"/>
      <c r="Q18" s="20"/>
      <c r="R18" s="20"/>
      <c r="S18" s="20"/>
      <c r="T18" s="20"/>
      <c r="U18" s="20"/>
    </row>
    <row r="19" spans="1:21" x14ac:dyDescent="0.25">
      <c r="A19" t="s">
        <v>59</v>
      </c>
      <c r="B19" s="47">
        <f t="shared" si="5"/>
        <v>0</v>
      </c>
      <c r="C19" s="47">
        <f t="shared" si="5"/>
        <v>1.4124293785310734E-3</v>
      </c>
      <c r="D19" s="47">
        <f t="shared" si="5"/>
        <v>4.2372881355932202E-2</v>
      </c>
      <c r="E19" s="47">
        <f t="shared" si="5"/>
        <v>6.7796610169491525E-2</v>
      </c>
      <c r="F19" s="47">
        <f t="shared" si="5"/>
        <v>6.9209039548022599E-2</v>
      </c>
      <c r="G19" s="47">
        <f t="shared" si="5"/>
        <v>2.2598870056497175E-2</v>
      </c>
      <c r="H19" s="47">
        <f t="shared" si="5"/>
        <v>1.4124293785310734E-3</v>
      </c>
      <c r="I19" s="47">
        <f t="shared" si="5"/>
        <v>1.4124293785310734E-3</v>
      </c>
      <c r="J19" s="48">
        <f t="shared" si="6"/>
        <v>0.20621468926553671</v>
      </c>
      <c r="K19" s="12"/>
      <c r="N19" s="20"/>
      <c r="O19" s="20"/>
      <c r="P19" s="20"/>
      <c r="Q19" s="20"/>
      <c r="R19" s="20"/>
      <c r="S19" s="20"/>
      <c r="T19" s="20"/>
      <c r="U19" s="20"/>
    </row>
    <row r="20" spans="1:21" x14ac:dyDescent="0.25">
      <c r="A20" t="s">
        <v>60</v>
      </c>
      <c r="B20" s="47">
        <f t="shared" si="5"/>
        <v>4.2372881355932203E-3</v>
      </c>
      <c r="C20" s="47">
        <f t="shared" si="5"/>
        <v>1.2711864406779662E-2</v>
      </c>
      <c r="D20" s="47">
        <f t="shared" si="5"/>
        <v>6.7796610169491525E-2</v>
      </c>
      <c r="E20" s="47">
        <f t="shared" si="5"/>
        <v>0.14830508474576271</v>
      </c>
      <c r="F20" s="47">
        <f t="shared" si="5"/>
        <v>4.8022598870056499E-2</v>
      </c>
      <c r="G20" s="47">
        <f t="shared" si="5"/>
        <v>1.977401129943503E-2</v>
      </c>
      <c r="H20" s="47">
        <f t="shared" si="5"/>
        <v>4.2372881355932203E-3</v>
      </c>
      <c r="I20" s="47">
        <f t="shared" si="5"/>
        <v>1.4124293785310734E-3</v>
      </c>
      <c r="J20" s="48">
        <f t="shared" si="6"/>
        <v>0.30649717514124292</v>
      </c>
      <c r="K20" s="12"/>
      <c r="N20" s="20"/>
      <c r="O20" s="20"/>
      <c r="P20" s="20"/>
      <c r="Q20" s="20"/>
      <c r="R20" s="20"/>
      <c r="S20" s="20"/>
      <c r="T20" s="20"/>
      <c r="U20" s="20"/>
    </row>
    <row r="21" spans="1:21" x14ac:dyDescent="0.25">
      <c r="A21" t="s">
        <v>62</v>
      </c>
      <c r="B21" s="47">
        <f t="shared" si="5"/>
        <v>0</v>
      </c>
      <c r="C21" s="47">
        <f t="shared" si="5"/>
        <v>8.4745762711864406E-3</v>
      </c>
      <c r="D21" s="47">
        <f t="shared" si="5"/>
        <v>5.9322033898305086E-2</v>
      </c>
      <c r="E21" s="47">
        <f t="shared" si="5"/>
        <v>3.954802259887006E-2</v>
      </c>
      <c r="F21" s="47">
        <f t="shared" si="5"/>
        <v>1.6949152542372881E-2</v>
      </c>
      <c r="G21" s="47">
        <f t="shared" si="5"/>
        <v>8.4745762711864406E-3</v>
      </c>
      <c r="H21" s="47">
        <f t="shared" si="5"/>
        <v>0</v>
      </c>
      <c r="I21" s="47">
        <f t="shared" si="5"/>
        <v>0</v>
      </c>
      <c r="J21" s="48">
        <f t="shared" si="6"/>
        <v>0.1327683615819209</v>
      </c>
      <c r="K21" s="12"/>
      <c r="N21" s="20"/>
      <c r="O21" s="20"/>
      <c r="P21" s="20"/>
      <c r="Q21" s="20"/>
      <c r="R21" s="20"/>
      <c r="S21" s="20"/>
      <c r="T21" s="20"/>
      <c r="U21" s="20"/>
    </row>
    <row r="22" spans="1:21" x14ac:dyDescent="0.25">
      <c r="A22" t="s">
        <v>63</v>
      </c>
      <c r="B22" s="47">
        <f t="shared" si="5"/>
        <v>1.4124293785310734E-3</v>
      </c>
      <c r="C22" s="47">
        <f t="shared" si="5"/>
        <v>1.2711864406779662E-2</v>
      </c>
      <c r="D22" s="47">
        <f t="shared" si="5"/>
        <v>2.5423728813559324E-2</v>
      </c>
      <c r="E22" s="47">
        <f t="shared" si="5"/>
        <v>1.5536723163841809E-2</v>
      </c>
      <c r="F22" s="47">
        <f t="shared" si="5"/>
        <v>2.8248587570621469E-3</v>
      </c>
      <c r="G22" s="47">
        <f t="shared" si="5"/>
        <v>1.4124293785310734E-3</v>
      </c>
      <c r="H22" s="47">
        <f t="shared" si="5"/>
        <v>0</v>
      </c>
      <c r="I22" s="47">
        <f t="shared" si="5"/>
        <v>0</v>
      </c>
      <c r="J22" s="48">
        <f t="shared" si="6"/>
        <v>5.9322033898305093E-2</v>
      </c>
      <c r="K22" s="12"/>
      <c r="N22" s="20"/>
      <c r="O22" s="20"/>
      <c r="P22" s="20"/>
      <c r="Q22" s="20"/>
      <c r="R22" s="20"/>
      <c r="S22" s="20"/>
      <c r="T22" s="20"/>
      <c r="U22" s="20"/>
    </row>
    <row r="23" spans="1:21" x14ac:dyDescent="0.25">
      <c r="A23" t="s">
        <v>64</v>
      </c>
      <c r="B23" s="47">
        <f t="shared" si="5"/>
        <v>1.4124293785310734E-3</v>
      </c>
      <c r="C23" s="47">
        <f t="shared" si="5"/>
        <v>1.4124293785310734E-3</v>
      </c>
      <c r="D23" s="47">
        <f t="shared" si="5"/>
        <v>2.8248587570621469E-3</v>
      </c>
      <c r="E23" s="47">
        <f t="shared" si="5"/>
        <v>0</v>
      </c>
      <c r="F23" s="47">
        <f t="shared" si="5"/>
        <v>1.4124293785310734E-3</v>
      </c>
      <c r="G23" s="47">
        <f t="shared" si="5"/>
        <v>0</v>
      </c>
      <c r="H23" s="47">
        <f t="shared" si="5"/>
        <v>0</v>
      </c>
      <c r="I23" s="47">
        <f t="shared" si="5"/>
        <v>0</v>
      </c>
      <c r="J23" s="48">
        <f t="shared" si="6"/>
        <v>7.0621468926553672E-3</v>
      </c>
      <c r="K23" s="12"/>
      <c r="N23" s="20"/>
      <c r="O23" s="20"/>
      <c r="P23" s="20"/>
      <c r="Q23" s="20"/>
      <c r="R23" s="20"/>
      <c r="S23" s="20"/>
      <c r="T23" s="20"/>
      <c r="U23" s="20"/>
    </row>
    <row r="24" spans="1:21" x14ac:dyDescent="0.25">
      <c r="A24" s="5" t="s">
        <v>91</v>
      </c>
      <c r="B24" s="49">
        <f>SUM(B16:B23)</f>
        <v>7.0621468926553672E-3</v>
      </c>
      <c r="C24" s="49">
        <f t="shared" ref="C24:I24" si="7">SUM(C16:C23)</f>
        <v>4.3785310734463276E-2</v>
      </c>
      <c r="D24" s="49">
        <f t="shared" si="7"/>
        <v>0.2556497175141243</v>
      </c>
      <c r="E24" s="49">
        <f t="shared" si="7"/>
        <v>0.36581920903954807</v>
      </c>
      <c r="F24" s="49">
        <f t="shared" si="7"/>
        <v>0.20056497175141241</v>
      </c>
      <c r="G24" s="49">
        <f t="shared" si="7"/>
        <v>9.6045197740112997E-2</v>
      </c>
      <c r="H24" s="49">
        <f t="shared" si="7"/>
        <v>1.6949152542372881E-2</v>
      </c>
      <c r="I24" s="49">
        <f t="shared" si="7"/>
        <v>1.4124293785310736E-2</v>
      </c>
      <c r="J24" s="49">
        <f>SUM(J16:J23)</f>
        <v>0.99999999999999989</v>
      </c>
      <c r="K24" s="4"/>
      <c r="M24" s="8"/>
      <c r="N24" s="14"/>
      <c r="O24" s="14"/>
      <c r="P24" s="14"/>
      <c r="Q24" s="14"/>
      <c r="R24" s="14"/>
      <c r="S24" s="14"/>
      <c r="T24" s="14"/>
      <c r="U24" s="14"/>
    </row>
    <row r="25" spans="1:21" x14ac:dyDescent="0.25">
      <c r="A25" s="5" t="s">
        <v>88</v>
      </c>
      <c r="B25" s="6" t="s">
        <v>64</v>
      </c>
      <c r="C25" s="6" t="s">
        <v>63</v>
      </c>
      <c r="D25" s="6" t="s">
        <v>62</v>
      </c>
      <c r="E25" s="6" t="s">
        <v>60</v>
      </c>
      <c r="F25" s="6" t="s">
        <v>59</v>
      </c>
      <c r="G25" s="6" t="s">
        <v>57</v>
      </c>
      <c r="H25" s="6" t="s">
        <v>89</v>
      </c>
      <c r="I25" s="6" t="s">
        <v>55</v>
      </c>
      <c r="J25" s="4"/>
      <c r="K25" s="4"/>
      <c r="M25" s="8"/>
      <c r="N25" s="7"/>
      <c r="O25" s="7"/>
      <c r="P25" s="7"/>
      <c r="Q25" s="7"/>
      <c r="R25" s="7"/>
      <c r="S25" s="7"/>
      <c r="T25" s="7"/>
      <c r="U25" s="7"/>
    </row>
    <row r="26" spans="1:21" x14ac:dyDescent="0.25">
      <c r="A26" s="8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21" x14ac:dyDescent="0.25">
      <c r="A27" s="8" t="s">
        <v>103</v>
      </c>
      <c r="B27" s="7"/>
      <c r="C27" s="7"/>
      <c r="D27" s="7"/>
      <c r="E27" s="7"/>
      <c r="F27" s="7"/>
      <c r="G27" s="8" t="s">
        <v>104</v>
      </c>
      <c r="H27" s="7"/>
      <c r="I27" s="7"/>
      <c r="J27" s="7"/>
      <c r="K27" s="7"/>
    </row>
    <row r="28" spans="1:21" x14ac:dyDescent="0.25">
      <c r="A28" s="8" t="s">
        <v>67</v>
      </c>
      <c r="B28" s="7" t="s">
        <v>68</v>
      </c>
      <c r="C28" s="7" t="s">
        <v>69</v>
      </c>
      <c r="D28" s="7" t="s">
        <v>70</v>
      </c>
      <c r="E28" s="7" t="s">
        <v>69</v>
      </c>
      <c r="F28" s="7"/>
      <c r="G28" s="8" t="s">
        <v>102</v>
      </c>
      <c r="H28" s="7" t="s">
        <v>68</v>
      </c>
      <c r="I28" s="7" t="s">
        <v>69</v>
      </c>
      <c r="J28" s="7" t="s">
        <v>70</v>
      </c>
      <c r="K28" s="7" t="s">
        <v>69</v>
      </c>
      <c r="M28" s="37"/>
    </row>
    <row r="29" spans="1:21" x14ac:dyDescent="0.25">
      <c r="A29" t="s">
        <v>71</v>
      </c>
      <c r="B29">
        <f>J11</f>
        <v>708</v>
      </c>
      <c r="C29" s="9">
        <f>B29/B29</f>
        <v>1</v>
      </c>
      <c r="D29">
        <v>64</v>
      </c>
      <c r="E29" s="9">
        <f>D29/D29</f>
        <v>1</v>
      </c>
      <c r="G29" t="s">
        <v>71</v>
      </c>
      <c r="H29">
        <f>J11</f>
        <v>708</v>
      </c>
      <c r="I29" s="9">
        <f t="shared" ref="I29:I39" si="8">H29/$H$29</f>
        <v>1</v>
      </c>
      <c r="J29">
        <v>64</v>
      </c>
      <c r="K29" s="9">
        <f>J29/J29</f>
        <v>1</v>
      </c>
    </row>
    <row r="30" spans="1:21" x14ac:dyDescent="0.25">
      <c r="A30" t="s">
        <v>66</v>
      </c>
      <c r="B30">
        <f>B3+C3+B4</f>
        <v>0</v>
      </c>
      <c r="C30" s="11">
        <f t="shared" ref="C30:C39" si="9">B30/B$29</f>
        <v>0</v>
      </c>
      <c r="D30">
        <v>3</v>
      </c>
      <c r="E30" s="9">
        <f>D30/D$29</f>
        <v>4.6875E-2</v>
      </c>
      <c r="G30" t="s">
        <v>116</v>
      </c>
      <c r="H30">
        <f>B3</f>
        <v>0</v>
      </c>
      <c r="I30" s="9">
        <f t="shared" si="8"/>
        <v>0</v>
      </c>
      <c r="J30">
        <v>1</v>
      </c>
      <c r="K30" s="9">
        <f t="shared" ref="K30:K39" si="10">J30/J$29</f>
        <v>1.5625E-2</v>
      </c>
      <c r="N30" s="35"/>
      <c r="O30" s="35"/>
      <c r="P30" s="35"/>
    </row>
    <row r="31" spans="1:21" x14ac:dyDescent="0.25">
      <c r="A31" t="s">
        <v>72</v>
      </c>
      <c r="B31">
        <f>B3+B4+C3+C4+C5+D4+D5+D6+E5+E6+E7+F6</f>
        <v>324</v>
      </c>
      <c r="C31" s="11">
        <f t="shared" si="9"/>
        <v>0.4576271186440678</v>
      </c>
      <c r="D31">
        <v>12</v>
      </c>
      <c r="E31" s="9">
        <f t="shared" ref="E31:E39" si="11">D31/D$29</f>
        <v>0.1875</v>
      </c>
      <c r="G31" t="s">
        <v>117</v>
      </c>
      <c r="H31">
        <f>B3+C4+D5+E6</f>
        <v>77</v>
      </c>
      <c r="I31" s="9">
        <f t="shared" si="8"/>
        <v>0.10875706214689265</v>
      </c>
      <c r="J31">
        <v>4</v>
      </c>
      <c r="K31" s="9">
        <f t="shared" si="10"/>
        <v>6.25E-2</v>
      </c>
      <c r="N31" s="35"/>
      <c r="O31" s="35"/>
      <c r="P31" s="35"/>
    </row>
    <row r="32" spans="1:21" x14ac:dyDescent="0.25">
      <c r="A32" t="s">
        <v>73</v>
      </c>
      <c r="B32">
        <f>SUM(B3:B7, C3:C7, D3:D7, E3:E7, F3:F6)</f>
        <v>450</v>
      </c>
      <c r="C32" s="11">
        <f t="shared" si="9"/>
        <v>0.63559322033898302</v>
      </c>
      <c r="D32">
        <v>24</v>
      </c>
      <c r="E32" s="9">
        <f t="shared" si="11"/>
        <v>0.375</v>
      </c>
      <c r="G32" t="s">
        <v>118</v>
      </c>
      <c r="H32">
        <f>SUM(B3:B6) + SUM(C3:C6) + SUM(D3:D6) + SUM(E3:E6)</f>
        <v>192</v>
      </c>
      <c r="I32" s="9">
        <f t="shared" si="8"/>
        <v>0.2711864406779661</v>
      </c>
      <c r="J32">
        <v>16</v>
      </c>
      <c r="K32" s="9">
        <f t="shared" si="10"/>
        <v>0.25</v>
      </c>
      <c r="N32" s="35"/>
      <c r="O32" s="35"/>
      <c r="P32" s="35"/>
    </row>
    <row r="33" spans="1:17" x14ac:dyDescent="0.25">
      <c r="A33" t="s">
        <v>74</v>
      </c>
      <c r="B33">
        <f>SUM(B3:B10, C3:C9, D3:D8, E3:E7, F3:F6, G3:G5, H3:H4, I3)</f>
        <v>550</v>
      </c>
      <c r="C33" s="11">
        <f t="shared" si="9"/>
        <v>0.7768361581920904</v>
      </c>
      <c r="D33">
        <v>36</v>
      </c>
      <c r="E33" s="9">
        <f t="shared" si="11"/>
        <v>0.5625</v>
      </c>
      <c r="G33" t="s">
        <v>119</v>
      </c>
      <c r="H33">
        <f>SUM(B3:B9)+SUM(C3:C8)+SUM(D3:D7)+SUM(E3:E6)+SUM(F3:F5)+SUM(G3:G4)+H3</f>
        <v>314</v>
      </c>
      <c r="I33" s="9">
        <f t="shared" si="8"/>
        <v>0.44350282485875708</v>
      </c>
      <c r="J33">
        <v>28</v>
      </c>
      <c r="K33" s="9">
        <f t="shared" si="10"/>
        <v>0.4375</v>
      </c>
      <c r="N33" s="35"/>
      <c r="O33" s="35"/>
      <c r="P33" s="35"/>
    </row>
    <row r="34" spans="1:17" x14ac:dyDescent="0.25">
      <c r="A34" t="s">
        <v>75</v>
      </c>
      <c r="B34">
        <f>SUM(B9:B10, C8:C10, D7:D9, E6:E8, F5:F7, G4:G6, H3:H5, I3:I4)</f>
        <v>480</v>
      </c>
      <c r="C34" s="11">
        <f t="shared" si="9"/>
        <v>0.67796610169491522</v>
      </c>
      <c r="D34">
        <v>22</v>
      </c>
      <c r="E34" s="9">
        <f t="shared" si="11"/>
        <v>0.34375</v>
      </c>
      <c r="G34" t="s">
        <v>120</v>
      </c>
      <c r="H34">
        <f>B10+C9+D8+E7+F6+G5+H4+I3+E6+F7</f>
        <v>318</v>
      </c>
      <c r="I34" s="22">
        <f t="shared" si="8"/>
        <v>0.44915254237288138</v>
      </c>
      <c r="J34">
        <v>8</v>
      </c>
      <c r="K34" s="9">
        <f t="shared" si="10"/>
        <v>0.125</v>
      </c>
      <c r="N34" s="35"/>
      <c r="O34" s="35"/>
      <c r="P34" s="35"/>
    </row>
    <row r="35" spans="1:17" x14ac:dyDescent="0.25">
      <c r="A35" t="s">
        <v>76</v>
      </c>
      <c r="B35">
        <f>SUM(E6:E7, F6:F7)</f>
        <v>236</v>
      </c>
      <c r="C35" s="11">
        <f t="shared" si="9"/>
        <v>0.33333333333333331</v>
      </c>
      <c r="D35">
        <v>4</v>
      </c>
      <c r="E35" s="9">
        <f t="shared" si="11"/>
        <v>6.25E-2</v>
      </c>
      <c r="G35" t="s">
        <v>121</v>
      </c>
      <c r="H35">
        <f>E7+F6</f>
        <v>154</v>
      </c>
      <c r="I35" s="22">
        <f t="shared" si="8"/>
        <v>0.2175141242937853</v>
      </c>
      <c r="J35">
        <v>2</v>
      </c>
      <c r="K35" s="9">
        <f t="shared" si="10"/>
        <v>3.125E-2</v>
      </c>
      <c r="N35" s="35"/>
      <c r="O35" s="35"/>
      <c r="P35" s="35"/>
    </row>
    <row r="36" spans="1:17" x14ac:dyDescent="0.25">
      <c r="A36" t="s">
        <v>200</v>
      </c>
      <c r="B36">
        <f>I10</f>
        <v>0</v>
      </c>
      <c r="C36" s="11">
        <f t="shared" si="9"/>
        <v>0</v>
      </c>
      <c r="D36">
        <v>3</v>
      </c>
      <c r="E36" s="9">
        <f t="shared" si="11"/>
        <v>4.6875E-2</v>
      </c>
      <c r="G36" t="s">
        <v>198</v>
      </c>
      <c r="H36">
        <f>I10</f>
        <v>0</v>
      </c>
      <c r="I36" s="14">
        <f t="shared" si="8"/>
        <v>0</v>
      </c>
      <c r="J36">
        <v>1</v>
      </c>
      <c r="K36" s="9">
        <f t="shared" si="10"/>
        <v>1.5625E-2</v>
      </c>
      <c r="N36" s="35"/>
      <c r="O36" s="35"/>
      <c r="P36" s="35"/>
    </row>
    <row r="37" spans="1:17" x14ac:dyDescent="0.25">
      <c r="A37" t="s">
        <v>134</v>
      </c>
      <c r="B37">
        <f>SUM(I9:I10,H8:H10, G7:G9, F6:F8,E7)</f>
        <v>221</v>
      </c>
      <c r="C37" s="11">
        <f t="shared" si="9"/>
        <v>0.31214689265536721</v>
      </c>
      <c r="D37">
        <v>12</v>
      </c>
      <c r="E37" s="9">
        <f t="shared" si="11"/>
        <v>0.1875</v>
      </c>
      <c r="G37" t="s">
        <v>1</v>
      </c>
      <c r="H37">
        <f>I10+H9+G8+F7</f>
        <v>40</v>
      </c>
      <c r="I37" s="14">
        <f t="shared" si="8"/>
        <v>5.6497175141242938E-2</v>
      </c>
      <c r="J37">
        <v>4</v>
      </c>
      <c r="K37" s="9">
        <f t="shared" si="10"/>
        <v>6.25E-2</v>
      </c>
      <c r="N37" s="35"/>
      <c r="O37" s="35"/>
      <c r="P37" s="35"/>
    </row>
    <row r="38" spans="1:17" x14ac:dyDescent="0.25">
      <c r="A38" t="s">
        <v>135</v>
      </c>
      <c r="B38">
        <f>SUM(E10:I10, E9:I9, E8:I8, E7:I7, F6:I6)</f>
        <v>285</v>
      </c>
      <c r="C38" s="11">
        <f t="shared" si="9"/>
        <v>0.40254237288135591</v>
      </c>
      <c r="D38">
        <v>24</v>
      </c>
      <c r="E38" s="9">
        <f t="shared" si="11"/>
        <v>0.375</v>
      </c>
      <c r="G38" t="s">
        <v>137</v>
      </c>
      <c r="H38">
        <f>SUM(F10:I10, F9:I9, F8:I8, F7:I7)</f>
        <v>74</v>
      </c>
      <c r="I38" s="14">
        <f t="shared" si="8"/>
        <v>0.10451977401129943</v>
      </c>
      <c r="J38">
        <v>16</v>
      </c>
      <c r="K38" s="9">
        <f t="shared" si="10"/>
        <v>0.25</v>
      </c>
      <c r="P38" s="35"/>
    </row>
    <row r="39" spans="1:17" x14ac:dyDescent="0.25">
      <c r="A39" t="s">
        <v>136</v>
      </c>
      <c r="B39">
        <f>SUM(B10:I10, C9:I9, D8:I8, E7:I7, F6:I6, G5:I5, H4:I4, I3)</f>
        <v>394</v>
      </c>
      <c r="C39" s="11">
        <f t="shared" si="9"/>
        <v>0.55649717514124297</v>
      </c>
      <c r="D39">
        <v>36</v>
      </c>
      <c r="E39" s="9">
        <f t="shared" si="11"/>
        <v>0.5625</v>
      </c>
      <c r="G39" t="s">
        <v>138</v>
      </c>
      <c r="H39">
        <f>SUM(C10:I10, D9:I9, E8:I8, F7:I7,G6:I6, H5:I5, I4)</f>
        <v>158</v>
      </c>
      <c r="I39" s="14">
        <f t="shared" si="8"/>
        <v>0.2231638418079096</v>
      </c>
      <c r="J39">
        <v>28</v>
      </c>
      <c r="K39" s="9">
        <f t="shared" si="10"/>
        <v>0.4375</v>
      </c>
    </row>
    <row r="40" spans="1:17" x14ac:dyDescent="0.25">
      <c r="C40" s="11"/>
      <c r="E40" s="9"/>
      <c r="I40" s="9"/>
      <c r="K40" s="9"/>
      <c r="N40" s="35"/>
      <c r="O40" s="35"/>
      <c r="P40" s="35"/>
    </row>
    <row r="41" spans="1:17" x14ac:dyDescent="0.25">
      <c r="A41" t="s">
        <v>124</v>
      </c>
      <c r="B41">
        <f>B29-B35</f>
        <v>472</v>
      </c>
      <c r="C41" s="11">
        <v>1</v>
      </c>
      <c r="D41">
        <v>60</v>
      </c>
      <c r="E41" s="9">
        <v>1</v>
      </c>
      <c r="G41" t="s">
        <v>125</v>
      </c>
      <c r="H41">
        <f>H29-H35</f>
        <v>554</v>
      </c>
      <c r="I41" s="9">
        <v>1</v>
      </c>
      <c r="J41">
        <v>62</v>
      </c>
      <c r="K41" s="9">
        <v>1</v>
      </c>
      <c r="N41" s="35"/>
      <c r="O41" s="35"/>
      <c r="P41" s="35"/>
    </row>
    <row r="42" spans="1:17" x14ac:dyDescent="0.25">
      <c r="A42" t="s">
        <v>80</v>
      </c>
      <c r="B42">
        <f>B34-B35</f>
        <v>244</v>
      </c>
      <c r="C42" s="11">
        <f>B42/B$41</f>
        <v>0.51694915254237284</v>
      </c>
      <c r="D42">
        <v>18</v>
      </c>
      <c r="E42" s="9">
        <f>D42/D$41</f>
        <v>0.3</v>
      </c>
      <c r="G42" t="s">
        <v>122</v>
      </c>
      <c r="H42">
        <f>H34-E7-F6</f>
        <v>164</v>
      </c>
      <c r="I42" s="9">
        <f>H42/$H$41</f>
        <v>0.29602888086642598</v>
      </c>
      <c r="J42">
        <v>6</v>
      </c>
      <c r="K42" s="9">
        <f>J42/J$41</f>
        <v>9.6774193548387094E-2</v>
      </c>
      <c r="N42" s="35"/>
      <c r="O42" s="35"/>
      <c r="P42" s="35"/>
    </row>
    <row r="43" spans="1:17" x14ac:dyDescent="0.25">
      <c r="C43" s="10"/>
      <c r="E43" s="9"/>
      <c r="N43" s="35"/>
      <c r="O43" s="35"/>
      <c r="P43" s="35"/>
    </row>
    <row r="44" spans="1:17" x14ac:dyDescent="0.25">
      <c r="A44" t="s">
        <v>81</v>
      </c>
      <c r="B44">
        <f>B29-B34</f>
        <v>228</v>
      </c>
      <c r="C44" s="10">
        <f t="shared" ref="C44:C52" si="12">B44/B$44</f>
        <v>1</v>
      </c>
      <c r="D44">
        <v>42</v>
      </c>
      <c r="E44" s="9">
        <f t="shared" ref="E44:E52" si="13">D44/D$44</f>
        <v>1</v>
      </c>
      <c r="G44" t="s">
        <v>129</v>
      </c>
      <c r="H44">
        <f>H29-H34</f>
        <v>390</v>
      </c>
      <c r="I44" s="32">
        <f>H44/H$44</f>
        <v>1</v>
      </c>
      <c r="J44">
        <f>J29-J34</f>
        <v>56</v>
      </c>
      <c r="K44" s="9">
        <f t="shared" ref="K44:K52" si="14">J44/J$44</f>
        <v>1</v>
      </c>
      <c r="N44" s="35"/>
      <c r="O44" s="35"/>
      <c r="P44" s="35"/>
    </row>
    <row r="45" spans="1:17" x14ac:dyDescent="0.25">
      <c r="A45" t="s">
        <v>82</v>
      </c>
      <c r="B45">
        <f>B30</f>
        <v>0</v>
      </c>
      <c r="C45" s="11">
        <f t="shared" si="12"/>
        <v>0</v>
      </c>
      <c r="D45">
        <v>3</v>
      </c>
      <c r="E45" s="9">
        <f t="shared" si="13"/>
        <v>7.1428571428571425E-2</v>
      </c>
      <c r="G45" t="s">
        <v>130</v>
      </c>
      <c r="H45">
        <f>H30</f>
        <v>0</v>
      </c>
      <c r="I45" s="32">
        <f>H45/H$44</f>
        <v>0</v>
      </c>
      <c r="J45">
        <v>1</v>
      </c>
      <c r="K45" s="9">
        <f t="shared" si="14"/>
        <v>1.7857142857142856E-2</v>
      </c>
      <c r="N45" s="35"/>
      <c r="O45" s="35"/>
      <c r="P45" s="35"/>
    </row>
    <row r="46" spans="1:17" x14ac:dyDescent="0.25">
      <c r="A46" t="s">
        <v>77</v>
      </c>
      <c r="B46">
        <f>B31-(SUM(E6:E7,F6))</f>
        <v>122</v>
      </c>
      <c r="C46" s="11">
        <f t="shared" si="12"/>
        <v>0.53508771929824561</v>
      </c>
      <c r="D46">
        <v>9</v>
      </c>
      <c r="E46" s="9">
        <f t="shared" si="13"/>
        <v>0.21428571428571427</v>
      </c>
      <c r="G46" t="s">
        <v>131</v>
      </c>
      <c r="H46">
        <f>H31</f>
        <v>77</v>
      </c>
      <c r="I46" s="32">
        <f>H46/H$44</f>
        <v>0.19743589743589743</v>
      </c>
      <c r="J46">
        <v>4</v>
      </c>
      <c r="K46" s="9">
        <f t="shared" si="14"/>
        <v>7.1428571428571425E-2</v>
      </c>
      <c r="N46" s="35"/>
      <c r="O46" s="35"/>
      <c r="P46" s="35"/>
    </row>
    <row r="47" spans="1:17" x14ac:dyDescent="0.25">
      <c r="A47" t="s">
        <v>78</v>
      </c>
      <c r="B47">
        <f>$B$32-SUM($D$7, $E$6:E$7, $F$5:$F$6)</f>
        <v>169</v>
      </c>
      <c r="C47" s="11">
        <f t="shared" si="12"/>
        <v>0.74122807017543857</v>
      </c>
      <c r="D47">
        <v>19</v>
      </c>
      <c r="E47" s="9">
        <f t="shared" si="13"/>
        <v>0.45238095238095238</v>
      </c>
      <c r="G47" t="s">
        <v>132</v>
      </c>
      <c r="H47">
        <f>H32</f>
        <v>192</v>
      </c>
      <c r="I47" s="32">
        <f t="shared" ref="I47:I52" si="15">H47/H$44</f>
        <v>0.49230769230769234</v>
      </c>
      <c r="J47">
        <v>16</v>
      </c>
      <c r="K47" s="9">
        <f t="shared" si="14"/>
        <v>0.2857142857142857</v>
      </c>
      <c r="N47" s="35"/>
      <c r="O47" s="35"/>
      <c r="P47" s="35"/>
    </row>
    <row r="48" spans="1:17" x14ac:dyDescent="0.25">
      <c r="A48" t="s">
        <v>79</v>
      </c>
      <c r="B48">
        <f>B$33-SUM(B$9:B$10, C$8:C$9, D$7:D$8, E$6:E$7, F$5:F$6, G$4:G$5, H$3:H$4, I$3)</f>
        <v>173</v>
      </c>
      <c r="C48" s="11">
        <f t="shared" si="12"/>
        <v>0.75877192982456143</v>
      </c>
      <c r="D48">
        <v>21</v>
      </c>
      <c r="E48" s="9">
        <f t="shared" si="13"/>
        <v>0.5</v>
      </c>
      <c r="G48" t="s">
        <v>133</v>
      </c>
      <c r="H48">
        <f>H33</f>
        <v>314</v>
      </c>
      <c r="I48" s="32">
        <f t="shared" si="15"/>
        <v>0.80512820512820515</v>
      </c>
      <c r="J48">
        <v>28</v>
      </c>
      <c r="K48" s="9">
        <f t="shared" si="14"/>
        <v>0.5</v>
      </c>
      <c r="P48" s="35"/>
      <c r="Q48" s="35"/>
    </row>
    <row r="49" spans="1:21" x14ac:dyDescent="0.25">
      <c r="A49" t="s">
        <v>201</v>
      </c>
      <c r="B49">
        <f>B36</f>
        <v>0</v>
      </c>
      <c r="C49" s="11">
        <f t="shared" si="12"/>
        <v>0</v>
      </c>
      <c r="D49">
        <v>3</v>
      </c>
      <c r="E49" s="9">
        <f t="shared" si="13"/>
        <v>7.1428571428571425E-2</v>
      </c>
      <c r="G49" t="s">
        <v>199</v>
      </c>
      <c r="H49">
        <v>0</v>
      </c>
      <c r="I49" s="32">
        <f t="shared" si="15"/>
        <v>0</v>
      </c>
      <c r="J49">
        <v>1</v>
      </c>
      <c r="K49" s="9">
        <f t="shared" si="14"/>
        <v>1.7857142857142856E-2</v>
      </c>
    </row>
    <row r="50" spans="1:21" x14ac:dyDescent="0.25">
      <c r="A50" t="s">
        <v>139</v>
      </c>
      <c r="B50">
        <f>B37-SUM(F6:F7,E7)</f>
        <v>33</v>
      </c>
      <c r="C50" s="11">
        <f t="shared" si="12"/>
        <v>0.14473684210526316</v>
      </c>
      <c r="D50">
        <v>9</v>
      </c>
      <c r="E50" s="9">
        <f t="shared" si="13"/>
        <v>0.21428571428571427</v>
      </c>
      <c r="G50" t="s">
        <v>0</v>
      </c>
      <c r="H50">
        <f>I10+H9+G8+F7</f>
        <v>40</v>
      </c>
      <c r="I50" s="32">
        <f t="shared" si="15"/>
        <v>0.10256410256410256</v>
      </c>
      <c r="J50">
        <v>4</v>
      </c>
      <c r="K50" s="9">
        <f t="shared" si="14"/>
        <v>7.1428571428571425E-2</v>
      </c>
      <c r="N50" s="35"/>
      <c r="O50" s="35"/>
      <c r="P50" s="35"/>
    </row>
    <row r="51" spans="1:21" x14ac:dyDescent="0.25">
      <c r="A51" t="s">
        <v>140</v>
      </c>
      <c r="B51">
        <f>SUM(E10:I10, E9:I9, F8:I8, G7:I7, H6:I6)</f>
        <v>53</v>
      </c>
      <c r="C51" s="11">
        <f t="shared" si="12"/>
        <v>0.23245614035087719</v>
      </c>
      <c r="D51">
        <v>19</v>
      </c>
      <c r="E51" s="9">
        <f t="shared" si="13"/>
        <v>0.45238095238095238</v>
      </c>
      <c r="G51" t="s">
        <v>143</v>
      </c>
      <c r="H51">
        <f>SUM(F7:I10)</f>
        <v>74</v>
      </c>
      <c r="I51" s="32">
        <f t="shared" si="15"/>
        <v>0.18974358974358974</v>
      </c>
      <c r="J51">
        <v>16</v>
      </c>
      <c r="K51" s="9">
        <f t="shared" si="14"/>
        <v>0.2857142857142857</v>
      </c>
      <c r="N51" s="35"/>
      <c r="O51" s="35"/>
      <c r="P51" s="35"/>
      <c r="R51" s="41"/>
    </row>
    <row r="52" spans="1:21" x14ac:dyDescent="0.25">
      <c r="A52" t="s">
        <v>141</v>
      </c>
      <c r="B52">
        <f>SUM(D10:I10, E9:I9, F8:I8, G7:I7, H6:I6, I5)</f>
        <v>55</v>
      </c>
      <c r="C52" s="11">
        <f t="shared" si="12"/>
        <v>0.2412280701754386</v>
      </c>
      <c r="D52">
        <v>21</v>
      </c>
      <c r="E52" s="9">
        <f t="shared" si="13"/>
        <v>0.5</v>
      </c>
      <c r="G52" t="s">
        <v>144</v>
      </c>
      <c r="H52">
        <f>H39</f>
        <v>158</v>
      </c>
      <c r="I52" s="32">
        <f t="shared" si="15"/>
        <v>0.40512820512820513</v>
      </c>
      <c r="J52">
        <v>28</v>
      </c>
      <c r="K52" s="9">
        <f t="shared" si="14"/>
        <v>0.5</v>
      </c>
      <c r="N52" s="35"/>
      <c r="O52" s="35"/>
      <c r="P52" s="35"/>
      <c r="S52" s="35"/>
      <c r="T52" s="35"/>
      <c r="U52" s="35"/>
    </row>
    <row r="53" spans="1:21" x14ac:dyDescent="0.25">
      <c r="N53" s="35"/>
      <c r="O53" s="35"/>
      <c r="P53" s="35"/>
      <c r="S53" s="35"/>
      <c r="T53" s="35"/>
      <c r="U53" s="35"/>
    </row>
    <row r="54" spans="1:21" x14ac:dyDescent="0.25">
      <c r="A54" t="s">
        <v>196</v>
      </c>
      <c r="B54">
        <f>B29</f>
        <v>708</v>
      </c>
      <c r="C54" s="11">
        <v>1</v>
      </c>
      <c r="D54">
        <v>64</v>
      </c>
      <c r="E54">
        <v>100</v>
      </c>
      <c r="G54" t="s">
        <v>197</v>
      </c>
      <c r="H54">
        <v>324</v>
      </c>
      <c r="I54" s="11">
        <v>1</v>
      </c>
      <c r="J54">
        <v>64</v>
      </c>
      <c r="K54" s="11">
        <v>1</v>
      </c>
      <c r="N54" s="35"/>
      <c r="O54" s="35"/>
      <c r="P54" s="35"/>
      <c r="S54" s="35"/>
      <c r="T54" s="35"/>
      <c r="U54" s="35"/>
    </row>
    <row r="55" spans="1:21" x14ac:dyDescent="0.25">
      <c r="A55" t="s">
        <v>142</v>
      </c>
      <c r="B55">
        <f>B46</f>
        <v>122</v>
      </c>
      <c r="C55" s="11">
        <f>B55/B$54</f>
        <v>0.17231638418079095</v>
      </c>
      <c r="D55">
        <f>D46</f>
        <v>9</v>
      </c>
      <c r="E55" s="9">
        <f>D55/D$54</f>
        <v>0.140625</v>
      </c>
      <c r="G55" t="s">
        <v>131</v>
      </c>
      <c r="H55">
        <f>H46</f>
        <v>77</v>
      </c>
      <c r="I55" s="32">
        <f>H55/H$54</f>
        <v>0.23765432098765432</v>
      </c>
      <c r="J55">
        <f>J46</f>
        <v>4</v>
      </c>
      <c r="K55" s="9">
        <f>J55/J$54</f>
        <v>6.25E-2</v>
      </c>
      <c r="N55" s="35"/>
      <c r="O55" s="35"/>
      <c r="P55" s="35"/>
      <c r="S55" s="35"/>
      <c r="T55" s="35"/>
      <c r="U55" s="35"/>
    </row>
    <row r="56" spans="1:21" x14ac:dyDescent="0.25">
      <c r="A56" t="s">
        <v>78</v>
      </c>
      <c r="B56">
        <f t="shared" ref="B56:B61" si="16">B47</f>
        <v>169</v>
      </c>
      <c r="C56" s="11">
        <f t="shared" ref="C56:C61" si="17">B56/B$54</f>
        <v>0.23870056497175141</v>
      </c>
      <c r="D56">
        <f t="shared" ref="D56:D61" si="18">D47</f>
        <v>19</v>
      </c>
      <c r="E56" s="9">
        <f t="shared" ref="E56:E61" si="19">D56/D$54</f>
        <v>0.296875</v>
      </c>
      <c r="G56" t="s">
        <v>132</v>
      </c>
      <c r="H56">
        <f t="shared" ref="H56:H61" si="20">H47</f>
        <v>192</v>
      </c>
      <c r="I56" s="32">
        <f t="shared" ref="I56:I61" si="21">H56/H$54</f>
        <v>0.59259259259259256</v>
      </c>
      <c r="J56">
        <f t="shared" ref="J56:J61" si="22">J47</f>
        <v>16</v>
      </c>
      <c r="K56" s="9">
        <f t="shared" ref="K56:K61" si="23">J56/J$54</f>
        <v>0.25</v>
      </c>
      <c r="N56" s="35"/>
      <c r="O56" s="35"/>
      <c r="P56" s="35"/>
      <c r="S56" s="35"/>
      <c r="T56" s="35"/>
      <c r="U56" s="35"/>
    </row>
    <row r="57" spans="1:21" x14ac:dyDescent="0.25">
      <c r="A57" t="s">
        <v>79</v>
      </c>
      <c r="B57">
        <f t="shared" si="16"/>
        <v>173</v>
      </c>
      <c r="C57" s="11">
        <f t="shared" si="17"/>
        <v>0.2443502824858757</v>
      </c>
      <c r="D57">
        <f t="shared" si="18"/>
        <v>21</v>
      </c>
      <c r="E57" s="9">
        <f t="shared" si="19"/>
        <v>0.328125</v>
      </c>
      <c r="G57" t="s">
        <v>133</v>
      </c>
      <c r="H57">
        <f t="shared" si="20"/>
        <v>314</v>
      </c>
      <c r="I57" s="32">
        <f t="shared" si="21"/>
        <v>0.96913580246913578</v>
      </c>
      <c r="J57">
        <f t="shared" si="22"/>
        <v>28</v>
      </c>
      <c r="K57" s="9">
        <f t="shared" si="23"/>
        <v>0.4375</v>
      </c>
      <c r="N57" s="35"/>
      <c r="O57" s="35"/>
      <c r="P57" s="35"/>
      <c r="S57" s="35"/>
      <c r="T57" s="35"/>
      <c r="U57" s="35"/>
    </row>
    <row r="58" spans="1:21" x14ac:dyDescent="0.25">
      <c r="A58" t="s">
        <v>201</v>
      </c>
      <c r="B58">
        <f t="shared" si="16"/>
        <v>0</v>
      </c>
      <c r="C58" s="11">
        <f t="shared" si="17"/>
        <v>0</v>
      </c>
      <c r="D58">
        <f t="shared" si="18"/>
        <v>3</v>
      </c>
      <c r="E58" s="9">
        <f t="shared" si="19"/>
        <v>4.6875E-2</v>
      </c>
      <c r="G58" t="s">
        <v>199</v>
      </c>
      <c r="H58">
        <f t="shared" si="20"/>
        <v>0</v>
      </c>
      <c r="I58" s="32">
        <f t="shared" si="21"/>
        <v>0</v>
      </c>
      <c r="J58">
        <f t="shared" si="22"/>
        <v>1</v>
      </c>
      <c r="K58" s="9">
        <f t="shared" si="23"/>
        <v>1.5625E-2</v>
      </c>
      <c r="N58" s="35"/>
      <c r="O58" s="35"/>
      <c r="P58" s="35"/>
      <c r="S58" s="35"/>
      <c r="T58" s="35"/>
      <c r="U58" s="35"/>
    </row>
    <row r="59" spans="1:21" x14ac:dyDescent="0.25">
      <c r="A59" t="s">
        <v>139</v>
      </c>
      <c r="B59">
        <f t="shared" si="16"/>
        <v>33</v>
      </c>
      <c r="C59" s="11">
        <f t="shared" si="17"/>
        <v>4.6610169491525424E-2</v>
      </c>
      <c r="D59">
        <f t="shared" si="18"/>
        <v>9</v>
      </c>
      <c r="E59" s="9">
        <f t="shared" si="19"/>
        <v>0.140625</v>
      </c>
      <c r="G59" t="s">
        <v>0</v>
      </c>
      <c r="H59">
        <f t="shared" si="20"/>
        <v>40</v>
      </c>
      <c r="I59" s="32">
        <f t="shared" si="21"/>
        <v>0.12345679012345678</v>
      </c>
      <c r="J59">
        <f t="shared" si="22"/>
        <v>4</v>
      </c>
      <c r="K59" s="9">
        <f t="shared" si="23"/>
        <v>6.25E-2</v>
      </c>
      <c r="N59" s="35"/>
      <c r="O59" s="35"/>
      <c r="P59" s="35"/>
      <c r="S59" s="35"/>
      <c r="T59" s="35"/>
      <c r="U59" s="35"/>
    </row>
    <row r="60" spans="1:21" x14ac:dyDescent="0.25">
      <c r="A60" t="s">
        <v>140</v>
      </c>
      <c r="B60">
        <f t="shared" si="16"/>
        <v>53</v>
      </c>
      <c r="C60" s="11">
        <f t="shared" si="17"/>
        <v>7.4858757062146897E-2</v>
      </c>
      <c r="D60">
        <f t="shared" si="18"/>
        <v>19</v>
      </c>
      <c r="E60" s="9">
        <f t="shared" si="19"/>
        <v>0.296875</v>
      </c>
      <c r="G60" t="s">
        <v>143</v>
      </c>
      <c r="H60">
        <f t="shared" si="20"/>
        <v>74</v>
      </c>
      <c r="I60" s="32">
        <f t="shared" si="21"/>
        <v>0.22839506172839505</v>
      </c>
      <c r="J60">
        <f t="shared" si="22"/>
        <v>16</v>
      </c>
      <c r="K60" s="9">
        <f t="shared" si="23"/>
        <v>0.25</v>
      </c>
      <c r="N60" s="35"/>
      <c r="O60" s="35"/>
      <c r="P60" s="35"/>
      <c r="R60" s="35"/>
      <c r="S60" s="35"/>
      <c r="T60" s="35"/>
      <c r="U60" s="35"/>
    </row>
    <row r="61" spans="1:21" x14ac:dyDescent="0.25">
      <c r="A61" t="s">
        <v>141</v>
      </c>
      <c r="B61">
        <f t="shared" si="16"/>
        <v>55</v>
      </c>
      <c r="C61" s="11">
        <f t="shared" si="17"/>
        <v>7.7683615819209045E-2</v>
      </c>
      <c r="D61">
        <f t="shared" si="18"/>
        <v>21</v>
      </c>
      <c r="E61" s="9">
        <f t="shared" si="19"/>
        <v>0.328125</v>
      </c>
      <c r="G61" t="s">
        <v>144</v>
      </c>
      <c r="H61">
        <f t="shared" si="20"/>
        <v>158</v>
      </c>
      <c r="I61" s="32">
        <f t="shared" si="21"/>
        <v>0.48765432098765432</v>
      </c>
      <c r="J61">
        <f t="shared" si="22"/>
        <v>28</v>
      </c>
      <c r="K61" s="9">
        <f t="shared" si="23"/>
        <v>0.4375</v>
      </c>
      <c r="N61" s="35"/>
      <c r="O61" s="35"/>
      <c r="P61" s="35"/>
    </row>
    <row r="62" spans="1:21" x14ac:dyDescent="0.25">
      <c r="N62" s="35"/>
      <c r="O62" s="35"/>
      <c r="P62" s="35"/>
    </row>
    <row r="63" spans="1:21" x14ac:dyDescent="0.25">
      <c r="N63" s="35"/>
      <c r="O63" s="35"/>
      <c r="P63" s="35"/>
    </row>
    <row r="64" spans="1:21" x14ac:dyDescent="0.25">
      <c r="N64" s="35"/>
      <c r="O64" s="35"/>
      <c r="P64" s="35"/>
    </row>
    <row r="65" spans="14:16" x14ac:dyDescent="0.25">
      <c r="N65" s="35"/>
      <c r="O65" s="35"/>
      <c r="P65" s="35"/>
    </row>
    <row r="67" spans="14:16" x14ac:dyDescent="0.25">
      <c r="N67" s="35"/>
      <c r="O67" s="35"/>
      <c r="P67" s="35"/>
    </row>
    <row r="68" spans="14:16" x14ac:dyDescent="0.25">
      <c r="N68" s="35"/>
      <c r="O68" s="35"/>
      <c r="P68" s="35"/>
    </row>
    <row r="69" spans="14:16" x14ac:dyDescent="0.25">
      <c r="N69" s="35"/>
      <c r="O69" s="35"/>
      <c r="P69" s="35"/>
    </row>
    <row r="70" spans="14:16" x14ac:dyDescent="0.25">
      <c r="N70" s="35"/>
      <c r="O70" s="35"/>
      <c r="P70" s="35"/>
    </row>
    <row r="71" spans="14:16" x14ac:dyDescent="0.25">
      <c r="N71" s="35"/>
      <c r="O71" s="35"/>
      <c r="P71" s="35"/>
    </row>
    <row r="72" spans="14:16" x14ac:dyDescent="0.25">
      <c r="N72" s="35"/>
      <c r="O72" s="35"/>
      <c r="P72" s="35"/>
    </row>
    <row r="73" spans="14:16" x14ac:dyDescent="0.25">
      <c r="N73" s="35"/>
      <c r="O73" s="35"/>
      <c r="P73" s="35"/>
    </row>
    <row r="74" spans="14:16" x14ac:dyDescent="0.25">
      <c r="N74" s="35"/>
      <c r="O74" s="35"/>
      <c r="P74" s="35"/>
    </row>
    <row r="75" spans="14:16" x14ac:dyDescent="0.25">
      <c r="N75" s="35"/>
      <c r="O75" s="35"/>
      <c r="P75" s="35"/>
    </row>
    <row r="76" spans="14:16" x14ac:dyDescent="0.25">
      <c r="N76" s="35"/>
      <c r="O76" s="35"/>
      <c r="P76" s="35"/>
    </row>
    <row r="77" spans="14:16" x14ac:dyDescent="0.25">
      <c r="N77" s="35"/>
      <c r="O77" s="35"/>
      <c r="P77" s="35"/>
    </row>
    <row r="78" spans="14:16" x14ac:dyDescent="0.25">
      <c r="N78" s="35"/>
      <c r="O78" s="35"/>
      <c r="P78" s="35"/>
    </row>
    <row r="79" spans="14:16" x14ac:dyDescent="0.25">
      <c r="N79" s="35"/>
      <c r="O79" s="35"/>
      <c r="P79" s="35"/>
    </row>
    <row r="80" spans="14:16" x14ac:dyDescent="0.25">
      <c r="N80" s="35"/>
      <c r="O80" s="35"/>
      <c r="P80" s="35"/>
    </row>
    <row r="81" spans="14:16" x14ac:dyDescent="0.25">
      <c r="N81" s="35"/>
      <c r="O81" s="35"/>
      <c r="P81" s="35"/>
    </row>
    <row r="82" spans="14:16" x14ac:dyDescent="0.25">
      <c r="P82" s="3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topLeftCell="E12" workbookViewId="0">
      <selection activeCell="X12" sqref="X12"/>
    </sheetView>
  </sheetViews>
  <sheetFormatPr defaultRowHeight="15" x14ac:dyDescent="0.25"/>
  <sheetData>
    <row r="1" spans="1:21" x14ac:dyDescent="0.25">
      <c r="A1" s="1" t="s">
        <v>237</v>
      </c>
      <c r="J1" s="4" t="s">
        <v>58</v>
      </c>
      <c r="K1" s="4" t="s">
        <v>90</v>
      </c>
    </row>
    <row r="2" spans="1:21" x14ac:dyDescent="0.25">
      <c r="A2" s="1" t="s">
        <v>61</v>
      </c>
      <c r="J2" s="4"/>
      <c r="K2" s="4"/>
    </row>
    <row r="3" spans="1:21" x14ac:dyDescent="0.25">
      <c r="A3" s="2" t="s">
        <v>55</v>
      </c>
      <c r="B3">
        <v>1</v>
      </c>
      <c r="C3">
        <v>6</v>
      </c>
      <c r="D3">
        <v>8</v>
      </c>
      <c r="E3">
        <v>6</v>
      </c>
      <c r="F3">
        <v>5</v>
      </c>
      <c r="G3">
        <v>4</v>
      </c>
      <c r="H3">
        <v>1</v>
      </c>
      <c r="I3">
        <v>2</v>
      </c>
      <c r="J3" s="46">
        <f>SUM(B3:I3)</f>
        <v>33</v>
      </c>
      <c r="K3" s="12">
        <f>J3/J$11</f>
        <v>7.3008849557522126E-2</v>
      </c>
    </row>
    <row r="4" spans="1:21" x14ac:dyDescent="0.25">
      <c r="A4" s="3" t="s">
        <v>56</v>
      </c>
      <c r="B4">
        <v>0</v>
      </c>
      <c r="C4">
        <v>2</v>
      </c>
      <c r="D4">
        <v>3</v>
      </c>
      <c r="E4">
        <v>4</v>
      </c>
      <c r="F4">
        <v>0</v>
      </c>
      <c r="G4">
        <v>1</v>
      </c>
      <c r="H4">
        <v>3</v>
      </c>
      <c r="I4">
        <v>1</v>
      </c>
      <c r="J4" s="46">
        <f t="shared" ref="J4:J11" si="0">SUM(B4:I4)</f>
        <v>14</v>
      </c>
      <c r="K4" s="12">
        <f t="shared" ref="K4:K10" si="1">J4/J$11</f>
        <v>3.0973451327433628E-2</v>
      </c>
    </row>
    <row r="5" spans="1:21" x14ac:dyDescent="0.25">
      <c r="A5" t="s">
        <v>57</v>
      </c>
      <c r="B5">
        <v>0</v>
      </c>
      <c r="C5">
        <v>0</v>
      </c>
      <c r="D5">
        <v>13</v>
      </c>
      <c r="E5">
        <v>26</v>
      </c>
      <c r="F5">
        <v>14</v>
      </c>
      <c r="G5">
        <v>19</v>
      </c>
      <c r="H5">
        <v>0</v>
      </c>
      <c r="I5">
        <v>1</v>
      </c>
      <c r="J5" s="46">
        <f t="shared" si="0"/>
        <v>73</v>
      </c>
      <c r="K5" s="12">
        <f t="shared" si="1"/>
        <v>0.16150442477876106</v>
      </c>
    </row>
    <row r="6" spans="1:21" x14ac:dyDescent="0.25">
      <c r="A6" t="s">
        <v>59</v>
      </c>
      <c r="B6">
        <v>0</v>
      </c>
      <c r="C6">
        <v>0</v>
      </c>
      <c r="D6">
        <v>6</v>
      </c>
      <c r="E6">
        <v>74</v>
      </c>
      <c r="F6">
        <v>33</v>
      </c>
      <c r="G6">
        <v>4</v>
      </c>
      <c r="H6">
        <v>0</v>
      </c>
      <c r="I6">
        <v>0</v>
      </c>
      <c r="J6" s="46">
        <f t="shared" si="0"/>
        <v>117</v>
      </c>
      <c r="K6" s="12">
        <f t="shared" si="1"/>
        <v>0.25884955752212391</v>
      </c>
    </row>
    <row r="7" spans="1:21" x14ac:dyDescent="0.25">
      <c r="A7" t="s">
        <v>60</v>
      </c>
      <c r="B7">
        <v>0</v>
      </c>
      <c r="C7">
        <v>2</v>
      </c>
      <c r="D7">
        <v>27</v>
      </c>
      <c r="E7">
        <v>99</v>
      </c>
      <c r="F7">
        <v>10</v>
      </c>
      <c r="G7">
        <v>0</v>
      </c>
      <c r="H7">
        <v>0</v>
      </c>
      <c r="I7">
        <v>0</v>
      </c>
      <c r="J7" s="46">
        <f t="shared" si="0"/>
        <v>138</v>
      </c>
      <c r="K7" s="12">
        <f t="shared" si="1"/>
        <v>0.30530973451327431</v>
      </c>
    </row>
    <row r="8" spans="1:21" x14ac:dyDescent="0.25">
      <c r="A8" t="s">
        <v>62</v>
      </c>
      <c r="B8">
        <v>0</v>
      </c>
      <c r="C8">
        <v>0</v>
      </c>
      <c r="D8">
        <v>30</v>
      </c>
      <c r="E8">
        <v>17</v>
      </c>
      <c r="F8">
        <v>0</v>
      </c>
      <c r="G8">
        <v>7</v>
      </c>
      <c r="H8">
        <v>0</v>
      </c>
      <c r="I8">
        <v>0</v>
      </c>
      <c r="J8" s="46">
        <f t="shared" si="0"/>
        <v>54</v>
      </c>
      <c r="K8" s="12">
        <f t="shared" si="1"/>
        <v>0.11946902654867257</v>
      </c>
    </row>
    <row r="9" spans="1:21" x14ac:dyDescent="0.25">
      <c r="A9" t="s">
        <v>63</v>
      </c>
      <c r="B9">
        <v>0</v>
      </c>
      <c r="C9">
        <v>11</v>
      </c>
      <c r="D9">
        <v>6</v>
      </c>
      <c r="E9">
        <v>1</v>
      </c>
      <c r="F9">
        <v>0</v>
      </c>
      <c r="G9">
        <v>0</v>
      </c>
      <c r="H9">
        <v>0</v>
      </c>
      <c r="I9">
        <v>0</v>
      </c>
      <c r="J9" s="46">
        <f t="shared" si="0"/>
        <v>18</v>
      </c>
      <c r="K9" s="12">
        <f t="shared" si="1"/>
        <v>3.9823008849557522E-2</v>
      </c>
    </row>
    <row r="10" spans="1:21" x14ac:dyDescent="0.25">
      <c r="A10" t="s">
        <v>64</v>
      </c>
      <c r="B10">
        <v>4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 s="46">
        <f t="shared" si="0"/>
        <v>5</v>
      </c>
      <c r="K10" s="12">
        <f t="shared" si="1"/>
        <v>1.1061946902654867E-2</v>
      </c>
    </row>
    <row r="11" spans="1:21" x14ac:dyDescent="0.25">
      <c r="A11" s="5" t="s">
        <v>65</v>
      </c>
      <c r="B11" s="45">
        <f>SUM(B3:B10)</f>
        <v>5</v>
      </c>
      <c r="C11" s="45">
        <f t="shared" ref="C11:I11" si="2">SUM(C3:C10)</f>
        <v>21</v>
      </c>
      <c r="D11" s="45">
        <f t="shared" si="2"/>
        <v>94</v>
      </c>
      <c r="E11" s="45">
        <f t="shared" si="2"/>
        <v>227</v>
      </c>
      <c r="F11" s="45">
        <f t="shared" si="2"/>
        <v>62</v>
      </c>
      <c r="G11" s="45">
        <f t="shared" si="2"/>
        <v>35</v>
      </c>
      <c r="H11" s="45">
        <f t="shared" si="2"/>
        <v>4</v>
      </c>
      <c r="I11" s="45">
        <f t="shared" si="2"/>
        <v>4</v>
      </c>
      <c r="J11" s="46">
        <f t="shared" si="0"/>
        <v>452</v>
      </c>
      <c r="K11" s="4"/>
    </row>
    <row r="12" spans="1:21" x14ac:dyDescent="0.25">
      <c r="A12" s="5" t="s">
        <v>91</v>
      </c>
      <c r="B12" s="13">
        <f>B11/$J$11</f>
        <v>1.1061946902654867E-2</v>
      </c>
      <c r="C12" s="13">
        <f t="shared" ref="C12:I12" si="3">C11/$J$11</f>
        <v>4.6460176991150445E-2</v>
      </c>
      <c r="D12" s="13">
        <f t="shared" si="3"/>
        <v>0.20796460176991149</v>
      </c>
      <c r="E12" s="13">
        <f t="shared" si="3"/>
        <v>0.50221238938053092</v>
      </c>
      <c r="F12" s="13">
        <f t="shared" si="3"/>
        <v>0.13716814159292035</v>
      </c>
      <c r="G12" s="13">
        <f t="shared" si="3"/>
        <v>7.7433628318584066E-2</v>
      </c>
      <c r="H12" s="13">
        <f t="shared" si="3"/>
        <v>8.8495575221238937E-3</v>
      </c>
      <c r="I12" s="13">
        <f t="shared" si="3"/>
        <v>8.8495575221238937E-3</v>
      </c>
      <c r="J12" s="19">
        <f>SUM(B12:I12)</f>
        <v>0.99999999999999989</v>
      </c>
      <c r="K12" s="4"/>
    </row>
    <row r="13" spans="1:21" x14ac:dyDescent="0.25">
      <c r="A13" s="5" t="s">
        <v>88</v>
      </c>
      <c r="B13" s="6" t="s">
        <v>64</v>
      </c>
      <c r="C13" s="6" t="s">
        <v>63</v>
      </c>
      <c r="D13" s="6" t="s">
        <v>62</v>
      </c>
      <c r="E13" s="6" t="s">
        <v>60</v>
      </c>
      <c r="F13" s="6" t="s">
        <v>59</v>
      </c>
      <c r="G13" s="6" t="s">
        <v>57</v>
      </c>
      <c r="H13" s="6" t="s">
        <v>89</v>
      </c>
      <c r="I13" s="6" t="s">
        <v>55</v>
      </c>
      <c r="J13" s="4"/>
      <c r="K13" s="4"/>
    </row>
    <row r="14" spans="1:21" x14ac:dyDescent="0.25">
      <c r="A14" s="8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M14" s="8"/>
      <c r="N14" s="7"/>
      <c r="O14" s="7"/>
      <c r="P14" s="7"/>
    </row>
    <row r="15" spans="1:21" x14ac:dyDescent="0.25">
      <c r="A15" s="1" t="s">
        <v>61</v>
      </c>
      <c r="J15" s="4"/>
      <c r="K15" s="4"/>
      <c r="M15" s="1"/>
    </row>
    <row r="16" spans="1:21" x14ac:dyDescent="0.25">
      <c r="A16" s="2" t="s">
        <v>55</v>
      </c>
      <c r="B16" s="47">
        <f>B3/$J$11</f>
        <v>2.2123893805309734E-3</v>
      </c>
      <c r="C16" s="47">
        <f t="shared" ref="C16:I16" si="4">C3/$J$11</f>
        <v>1.3274336283185841E-2</v>
      </c>
      <c r="D16" s="47">
        <f t="shared" si="4"/>
        <v>1.7699115044247787E-2</v>
      </c>
      <c r="E16" s="47">
        <f t="shared" si="4"/>
        <v>1.3274336283185841E-2</v>
      </c>
      <c r="F16" s="47">
        <f t="shared" si="4"/>
        <v>1.1061946902654867E-2</v>
      </c>
      <c r="G16" s="47">
        <f t="shared" si="4"/>
        <v>8.8495575221238937E-3</v>
      </c>
      <c r="H16" s="47">
        <f t="shared" si="4"/>
        <v>2.2123893805309734E-3</v>
      </c>
      <c r="I16" s="47">
        <f t="shared" si="4"/>
        <v>4.4247787610619468E-3</v>
      </c>
      <c r="J16" s="48">
        <f>SUM(B16:I16)</f>
        <v>7.3008849557522126E-2</v>
      </c>
      <c r="K16" s="12"/>
      <c r="M16" s="2"/>
      <c r="N16" s="20"/>
      <c r="O16" s="20"/>
      <c r="P16" s="20"/>
      <c r="Q16" s="20"/>
      <c r="R16" s="20"/>
      <c r="S16" s="20"/>
      <c r="T16" s="20"/>
      <c r="U16" s="20"/>
    </row>
    <row r="17" spans="1:21" x14ac:dyDescent="0.25">
      <c r="A17" s="3" t="s">
        <v>56</v>
      </c>
      <c r="B17" s="47">
        <f t="shared" ref="B17:I23" si="5">B4/$J$11</f>
        <v>0</v>
      </c>
      <c r="C17" s="47">
        <f t="shared" si="5"/>
        <v>4.4247787610619468E-3</v>
      </c>
      <c r="D17" s="47">
        <f t="shared" si="5"/>
        <v>6.6371681415929203E-3</v>
      </c>
      <c r="E17" s="47">
        <f t="shared" si="5"/>
        <v>8.8495575221238937E-3</v>
      </c>
      <c r="F17" s="47">
        <f t="shared" si="5"/>
        <v>0</v>
      </c>
      <c r="G17" s="47">
        <f t="shared" si="5"/>
        <v>2.2123893805309734E-3</v>
      </c>
      <c r="H17" s="47">
        <f t="shared" si="5"/>
        <v>6.6371681415929203E-3</v>
      </c>
      <c r="I17" s="47">
        <f t="shared" si="5"/>
        <v>2.2123893805309734E-3</v>
      </c>
      <c r="J17" s="48">
        <f t="shared" ref="J17:J23" si="6">SUM(B17:I17)</f>
        <v>3.0973451327433628E-2</v>
      </c>
      <c r="K17" s="12"/>
      <c r="M17" s="3"/>
      <c r="N17" s="20"/>
      <c r="O17" s="20"/>
      <c r="P17" s="20"/>
      <c r="Q17" s="20"/>
      <c r="R17" s="20"/>
      <c r="S17" s="20"/>
      <c r="T17" s="20"/>
      <c r="U17" s="20"/>
    </row>
    <row r="18" spans="1:21" x14ac:dyDescent="0.25">
      <c r="A18" t="s">
        <v>57</v>
      </c>
      <c r="B18" s="47">
        <f t="shared" si="5"/>
        <v>0</v>
      </c>
      <c r="C18" s="47">
        <f t="shared" si="5"/>
        <v>0</v>
      </c>
      <c r="D18" s="47">
        <f t="shared" si="5"/>
        <v>2.8761061946902654E-2</v>
      </c>
      <c r="E18" s="47">
        <f t="shared" si="5"/>
        <v>5.7522123893805309E-2</v>
      </c>
      <c r="F18" s="47">
        <f t="shared" si="5"/>
        <v>3.0973451327433628E-2</v>
      </c>
      <c r="G18" s="47">
        <f t="shared" si="5"/>
        <v>4.2035398230088498E-2</v>
      </c>
      <c r="H18" s="47">
        <f t="shared" si="5"/>
        <v>0</v>
      </c>
      <c r="I18" s="47">
        <f t="shared" si="5"/>
        <v>2.2123893805309734E-3</v>
      </c>
      <c r="J18" s="48">
        <f t="shared" si="6"/>
        <v>0.16150442477876106</v>
      </c>
      <c r="K18" s="12"/>
      <c r="N18" s="20"/>
      <c r="O18" s="20"/>
      <c r="P18" s="20"/>
      <c r="Q18" s="20"/>
      <c r="R18" s="20"/>
      <c r="S18" s="20"/>
      <c r="T18" s="20"/>
      <c r="U18" s="20"/>
    </row>
    <row r="19" spans="1:21" x14ac:dyDescent="0.25">
      <c r="A19" t="s">
        <v>59</v>
      </c>
      <c r="B19" s="47">
        <f t="shared" si="5"/>
        <v>0</v>
      </c>
      <c r="C19" s="47">
        <f t="shared" si="5"/>
        <v>0</v>
      </c>
      <c r="D19" s="47">
        <f t="shared" si="5"/>
        <v>1.3274336283185841E-2</v>
      </c>
      <c r="E19" s="47">
        <f t="shared" si="5"/>
        <v>0.16371681415929204</v>
      </c>
      <c r="F19" s="47">
        <f t="shared" si="5"/>
        <v>7.3008849557522126E-2</v>
      </c>
      <c r="G19" s="47">
        <f t="shared" si="5"/>
        <v>8.8495575221238937E-3</v>
      </c>
      <c r="H19" s="47">
        <f t="shared" si="5"/>
        <v>0</v>
      </c>
      <c r="I19" s="47">
        <f t="shared" si="5"/>
        <v>0</v>
      </c>
      <c r="J19" s="48">
        <f t="shared" si="6"/>
        <v>0.25884955752212391</v>
      </c>
      <c r="K19" s="12"/>
      <c r="N19" s="20"/>
      <c r="O19" s="20"/>
      <c r="P19" s="20"/>
      <c r="Q19" s="20"/>
      <c r="R19" s="20"/>
      <c r="S19" s="20"/>
      <c r="T19" s="20"/>
      <c r="U19" s="20"/>
    </row>
    <row r="20" spans="1:21" x14ac:dyDescent="0.25">
      <c r="A20" t="s">
        <v>60</v>
      </c>
      <c r="B20" s="47">
        <f t="shared" si="5"/>
        <v>0</v>
      </c>
      <c r="C20" s="47">
        <f t="shared" si="5"/>
        <v>4.4247787610619468E-3</v>
      </c>
      <c r="D20" s="47">
        <f t="shared" si="5"/>
        <v>5.9734513274336286E-2</v>
      </c>
      <c r="E20" s="47">
        <f t="shared" si="5"/>
        <v>0.21902654867256638</v>
      </c>
      <c r="F20" s="47">
        <f t="shared" si="5"/>
        <v>2.2123893805309734E-2</v>
      </c>
      <c r="G20" s="47">
        <f t="shared" si="5"/>
        <v>0</v>
      </c>
      <c r="H20" s="47">
        <f t="shared" si="5"/>
        <v>0</v>
      </c>
      <c r="I20" s="47">
        <f t="shared" si="5"/>
        <v>0</v>
      </c>
      <c r="J20" s="48">
        <f t="shared" si="6"/>
        <v>0.30530973451327431</v>
      </c>
      <c r="K20" s="12"/>
      <c r="N20" s="20"/>
      <c r="O20" s="20"/>
      <c r="P20" s="20"/>
      <c r="Q20" s="20"/>
      <c r="R20" s="20"/>
      <c r="S20" s="20"/>
      <c r="T20" s="20"/>
      <c r="U20" s="20"/>
    </row>
    <row r="21" spans="1:21" x14ac:dyDescent="0.25">
      <c r="A21" t="s">
        <v>62</v>
      </c>
      <c r="B21" s="47">
        <f t="shared" si="5"/>
        <v>0</v>
      </c>
      <c r="C21" s="47">
        <f t="shared" si="5"/>
        <v>0</v>
      </c>
      <c r="D21" s="47">
        <f t="shared" si="5"/>
        <v>6.637168141592921E-2</v>
      </c>
      <c r="E21" s="47">
        <f t="shared" si="5"/>
        <v>3.7610619469026552E-2</v>
      </c>
      <c r="F21" s="47">
        <f t="shared" si="5"/>
        <v>0</v>
      </c>
      <c r="G21" s="47">
        <f t="shared" si="5"/>
        <v>1.5486725663716814E-2</v>
      </c>
      <c r="H21" s="47">
        <f t="shared" si="5"/>
        <v>0</v>
      </c>
      <c r="I21" s="47">
        <f t="shared" si="5"/>
        <v>0</v>
      </c>
      <c r="J21" s="48">
        <f t="shared" si="6"/>
        <v>0.11946902654867257</v>
      </c>
      <c r="K21" s="12"/>
      <c r="N21" s="20"/>
      <c r="O21" s="20"/>
      <c r="P21" s="20"/>
      <c r="Q21" s="20"/>
      <c r="R21" s="20"/>
      <c r="S21" s="20"/>
      <c r="T21" s="20"/>
      <c r="U21" s="20"/>
    </row>
    <row r="22" spans="1:21" x14ac:dyDescent="0.25">
      <c r="A22" t="s">
        <v>63</v>
      </c>
      <c r="B22" s="47">
        <f t="shared" si="5"/>
        <v>0</v>
      </c>
      <c r="C22" s="47">
        <f t="shared" si="5"/>
        <v>2.4336283185840708E-2</v>
      </c>
      <c r="D22" s="47">
        <f t="shared" si="5"/>
        <v>1.3274336283185841E-2</v>
      </c>
      <c r="E22" s="47">
        <f t="shared" si="5"/>
        <v>2.2123893805309734E-3</v>
      </c>
      <c r="F22" s="47">
        <f t="shared" si="5"/>
        <v>0</v>
      </c>
      <c r="G22" s="47">
        <f t="shared" si="5"/>
        <v>0</v>
      </c>
      <c r="H22" s="47">
        <f t="shared" si="5"/>
        <v>0</v>
      </c>
      <c r="I22" s="47">
        <f t="shared" si="5"/>
        <v>0</v>
      </c>
      <c r="J22" s="48">
        <f t="shared" si="6"/>
        <v>3.9823008849557529E-2</v>
      </c>
      <c r="K22" s="12"/>
      <c r="N22" s="20"/>
      <c r="O22" s="20"/>
      <c r="P22" s="20"/>
      <c r="Q22" s="20"/>
      <c r="R22" s="20"/>
      <c r="S22" s="20"/>
      <c r="T22" s="20"/>
      <c r="U22" s="20"/>
    </row>
    <row r="23" spans="1:21" x14ac:dyDescent="0.25">
      <c r="A23" t="s">
        <v>64</v>
      </c>
      <c r="B23" s="47">
        <f t="shared" si="5"/>
        <v>8.8495575221238937E-3</v>
      </c>
      <c r="C23" s="47">
        <f t="shared" si="5"/>
        <v>0</v>
      </c>
      <c r="D23" s="47">
        <f t="shared" si="5"/>
        <v>2.2123893805309734E-3</v>
      </c>
      <c r="E23" s="47">
        <f t="shared" si="5"/>
        <v>0</v>
      </c>
      <c r="F23" s="47">
        <f t="shared" si="5"/>
        <v>0</v>
      </c>
      <c r="G23" s="47">
        <f t="shared" si="5"/>
        <v>0</v>
      </c>
      <c r="H23" s="47">
        <f t="shared" si="5"/>
        <v>0</v>
      </c>
      <c r="I23" s="47">
        <f t="shared" si="5"/>
        <v>0</v>
      </c>
      <c r="J23" s="48">
        <f t="shared" si="6"/>
        <v>1.1061946902654867E-2</v>
      </c>
      <c r="K23" s="12"/>
      <c r="N23" s="20"/>
      <c r="O23" s="20"/>
      <c r="P23" s="20"/>
      <c r="Q23" s="20"/>
      <c r="R23" s="20"/>
      <c r="S23" s="20"/>
      <c r="T23" s="20"/>
      <c r="U23" s="20"/>
    </row>
    <row r="24" spans="1:21" x14ac:dyDescent="0.25">
      <c r="A24" s="5" t="s">
        <v>91</v>
      </c>
      <c r="B24" s="49">
        <f>SUM(B16:B23)</f>
        <v>1.1061946902654867E-2</v>
      </c>
      <c r="C24" s="49">
        <f t="shared" ref="C24:I24" si="7">SUM(C16:C23)</f>
        <v>4.6460176991150445E-2</v>
      </c>
      <c r="D24" s="49">
        <f t="shared" si="7"/>
        <v>0.20796460176991152</v>
      </c>
      <c r="E24" s="49">
        <f t="shared" si="7"/>
        <v>0.50221238938053092</v>
      </c>
      <c r="F24" s="49">
        <f t="shared" si="7"/>
        <v>0.13716814159292035</v>
      </c>
      <c r="G24" s="49">
        <f t="shared" si="7"/>
        <v>7.7433628318584066E-2</v>
      </c>
      <c r="H24" s="49">
        <f t="shared" si="7"/>
        <v>8.8495575221238937E-3</v>
      </c>
      <c r="I24" s="49">
        <f t="shared" si="7"/>
        <v>8.8495575221238937E-3</v>
      </c>
      <c r="J24" s="49">
        <f>SUM(J16:J23)</f>
        <v>0.99999999999999989</v>
      </c>
      <c r="K24" s="4"/>
      <c r="M24" s="8"/>
      <c r="N24" s="14"/>
      <c r="O24" s="14"/>
      <c r="P24" s="14"/>
      <c r="Q24" s="14"/>
      <c r="R24" s="14"/>
      <c r="S24" s="14"/>
      <c r="T24" s="14"/>
      <c r="U24" s="14"/>
    </row>
    <row r="25" spans="1:21" x14ac:dyDescent="0.25">
      <c r="A25" s="5" t="s">
        <v>88</v>
      </c>
      <c r="B25" s="6" t="s">
        <v>64</v>
      </c>
      <c r="C25" s="6" t="s">
        <v>63</v>
      </c>
      <c r="D25" s="6" t="s">
        <v>62</v>
      </c>
      <c r="E25" s="6" t="s">
        <v>60</v>
      </c>
      <c r="F25" s="6" t="s">
        <v>59</v>
      </c>
      <c r="G25" s="6" t="s">
        <v>57</v>
      </c>
      <c r="H25" s="6" t="s">
        <v>89</v>
      </c>
      <c r="I25" s="6" t="s">
        <v>55</v>
      </c>
      <c r="J25" s="4"/>
      <c r="K25" s="4"/>
      <c r="M25" s="8"/>
      <c r="N25" s="7"/>
      <c r="O25" s="7"/>
      <c r="P25" s="7"/>
      <c r="Q25" s="7"/>
      <c r="R25" s="7"/>
      <c r="S25" s="7"/>
      <c r="T25" s="7"/>
      <c r="U25" s="7"/>
    </row>
    <row r="26" spans="1:21" x14ac:dyDescent="0.25">
      <c r="A26" s="8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21" x14ac:dyDescent="0.25">
      <c r="A27" s="8" t="s">
        <v>103</v>
      </c>
      <c r="B27" s="7"/>
      <c r="C27" s="7"/>
      <c r="D27" s="7"/>
      <c r="E27" s="7"/>
      <c r="F27" s="7"/>
      <c r="G27" s="8" t="s">
        <v>104</v>
      </c>
      <c r="H27" s="7"/>
      <c r="I27" s="7"/>
      <c r="J27" s="7"/>
      <c r="K27" s="7"/>
    </row>
    <row r="28" spans="1:21" x14ac:dyDescent="0.25">
      <c r="A28" s="8" t="s">
        <v>67</v>
      </c>
      <c r="B28" s="7" t="s">
        <v>68</v>
      </c>
      <c r="C28" s="7" t="s">
        <v>69</v>
      </c>
      <c r="D28" s="7" t="s">
        <v>70</v>
      </c>
      <c r="E28" s="7" t="s">
        <v>69</v>
      </c>
      <c r="F28" s="7"/>
      <c r="G28" s="8" t="s">
        <v>102</v>
      </c>
      <c r="H28" s="7" t="s">
        <v>68</v>
      </c>
      <c r="I28" s="7" t="s">
        <v>69</v>
      </c>
      <c r="J28" s="7" t="s">
        <v>70</v>
      </c>
      <c r="K28" s="7" t="s">
        <v>69</v>
      </c>
      <c r="M28" s="37"/>
    </row>
    <row r="29" spans="1:21" x14ac:dyDescent="0.25">
      <c r="A29" t="s">
        <v>71</v>
      </c>
      <c r="B29">
        <f>J11</f>
        <v>452</v>
      </c>
      <c r="C29" s="9">
        <f>B29/B29</f>
        <v>1</v>
      </c>
      <c r="D29">
        <v>64</v>
      </c>
      <c r="E29" s="9">
        <f>D29/D29</f>
        <v>1</v>
      </c>
      <c r="G29" t="s">
        <v>71</v>
      </c>
      <c r="H29">
        <f>J11</f>
        <v>452</v>
      </c>
      <c r="I29" s="9">
        <f t="shared" ref="I29:I39" si="8">H29/$H$29</f>
        <v>1</v>
      </c>
      <c r="J29">
        <v>64</v>
      </c>
      <c r="K29" s="9">
        <f>J29/J29</f>
        <v>1</v>
      </c>
    </row>
    <row r="30" spans="1:21" x14ac:dyDescent="0.25">
      <c r="A30" t="s">
        <v>66</v>
      </c>
      <c r="B30">
        <f>B3+C3+B4</f>
        <v>7</v>
      </c>
      <c r="C30" s="11">
        <f t="shared" ref="C30:C39" si="9">B30/B$29</f>
        <v>1.5486725663716814E-2</v>
      </c>
      <c r="D30">
        <v>3</v>
      </c>
      <c r="E30" s="9">
        <f>D30/D$29</f>
        <v>4.6875E-2</v>
      </c>
      <c r="G30" t="s">
        <v>116</v>
      </c>
      <c r="H30">
        <f>B3</f>
        <v>1</v>
      </c>
      <c r="I30" s="9">
        <f t="shared" si="8"/>
        <v>2.2123893805309734E-3</v>
      </c>
      <c r="J30">
        <v>1</v>
      </c>
      <c r="K30" s="9">
        <f t="shared" ref="K30:K39" si="10">J30/J$29</f>
        <v>1.5625E-2</v>
      </c>
      <c r="N30" s="35"/>
      <c r="O30" s="35"/>
      <c r="P30" s="35"/>
    </row>
    <row r="31" spans="1:21" x14ac:dyDescent="0.25">
      <c r="A31" t="s">
        <v>72</v>
      </c>
      <c r="B31">
        <f>B3+B4+C3+C4+C5+D4+D5+D6+E5+E6+E7+F6</f>
        <v>263</v>
      </c>
      <c r="C31" s="11">
        <f t="shared" si="9"/>
        <v>0.58185840707964598</v>
      </c>
      <c r="D31">
        <v>12</v>
      </c>
      <c r="E31" s="9">
        <f t="shared" ref="E31:E39" si="11">D31/D$29</f>
        <v>0.1875</v>
      </c>
      <c r="G31" t="s">
        <v>117</v>
      </c>
      <c r="H31">
        <f>B3+C4+D5+E6</f>
        <v>90</v>
      </c>
      <c r="I31" s="9">
        <f t="shared" si="8"/>
        <v>0.19911504424778761</v>
      </c>
      <c r="J31">
        <v>4</v>
      </c>
      <c r="K31" s="9">
        <f t="shared" si="10"/>
        <v>6.25E-2</v>
      </c>
      <c r="N31" s="35"/>
      <c r="O31" s="35"/>
      <c r="P31" s="35"/>
    </row>
    <row r="32" spans="1:21" x14ac:dyDescent="0.25">
      <c r="A32" t="s">
        <v>73</v>
      </c>
      <c r="B32">
        <f>SUM(B3:B7, C3:C7, D3:D7, E3:E7, F3:F6)</f>
        <v>329</v>
      </c>
      <c r="C32" s="11">
        <f t="shared" si="9"/>
        <v>0.72787610619469023</v>
      </c>
      <c r="D32">
        <v>24</v>
      </c>
      <c r="E32" s="9">
        <f t="shared" si="11"/>
        <v>0.375</v>
      </c>
      <c r="G32" t="s">
        <v>118</v>
      </c>
      <c r="H32">
        <f>SUM(B3:B6) + SUM(C3:C6) + SUM(D3:D6) + SUM(E3:E6)</f>
        <v>149</v>
      </c>
      <c r="I32" s="9">
        <f t="shared" si="8"/>
        <v>0.32964601769911506</v>
      </c>
      <c r="J32">
        <v>16</v>
      </c>
      <c r="K32" s="9">
        <f t="shared" si="10"/>
        <v>0.25</v>
      </c>
      <c r="N32" s="35"/>
      <c r="O32" s="35"/>
      <c r="P32" s="35"/>
    </row>
    <row r="33" spans="1:17" x14ac:dyDescent="0.25">
      <c r="A33" t="s">
        <v>74</v>
      </c>
      <c r="B33">
        <f>SUM(B3:B10, C3:C9, D3:D8, E3:E7, F3:F6, G3:G5, H3:H4, I3)</f>
        <v>404</v>
      </c>
      <c r="C33" s="11">
        <f t="shared" si="9"/>
        <v>0.89380530973451322</v>
      </c>
      <c r="D33">
        <v>36</v>
      </c>
      <c r="E33" s="9">
        <f t="shared" si="11"/>
        <v>0.5625</v>
      </c>
      <c r="G33" t="s">
        <v>119</v>
      </c>
      <c r="H33">
        <f>SUM(B3:B9)+SUM(C3:C8)+SUM(D3:D7)+SUM(E3:E6)+SUM(F3:F5)+SUM(G3:G4)+H3</f>
        <v>203</v>
      </c>
      <c r="I33" s="9">
        <f t="shared" si="8"/>
        <v>0.44911504424778759</v>
      </c>
      <c r="J33">
        <v>28</v>
      </c>
      <c r="K33" s="9">
        <f t="shared" si="10"/>
        <v>0.4375</v>
      </c>
      <c r="N33" s="35"/>
      <c r="O33" s="35"/>
      <c r="P33" s="35"/>
    </row>
    <row r="34" spans="1:17" x14ac:dyDescent="0.25">
      <c r="A34" t="s">
        <v>75</v>
      </c>
      <c r="B34">
        <f>SUM(B9:B10, C8:C10, D7:D9, E6:E8, F5:F7, G4:G6, H3:H5, I3:I4)</f>
        <v>356</v>
      </c>
      <c r="C34" s="11">
        <f t="shared" si="9"/>
        <v>0.78761061946902655</v>
      </c>
      <c r="D34">
        <v>22</v>
      </c>
      <c r="E34" s="9">
        <f t="shared" si="11"/>
        <v>0.34375</v>
      </c>
      <c r="G34" t="s">
        <v>120</v>
      </c>
      <c r="H34">
        <f>B10+C9+D8+E7+F6+G5+H4+I3+E6+F7</f>
        <v>285</v>
      </c>
      <c r="I34" s="22">
        <f t="shared" si="8"/>
        <v>0.63053097345132747</v>
      </c>
      <c r="J34">
        <v>8</v>
      </c>
      <c r="K34" s="9">
        <f t="shared" si="10"/>
        <v>0.125</v>
      </c>
      <c r="N34" s="35"/>
      <c r="O34" s="35"/>
      <c r="P34" s="35"/>
    </row>
    <row r="35" spans="1:17" x14ac:dyDescent="0.25">
      <c r="A35" t="s">
        <v>76</v>
      </c>
      <c r="B35">
        <f>SUM(E6:E7, F6:F7)</f>
        <v>216</v>
      </c>
      <c r="C35" s="11">
        <f t="shared" si="9"/>
        <v>0.47787610619469029</v>
      </c>
      <c r="D35">
        <v>4</v>
      </c>
      <c r="E35" s="9">
        <f t="shared" si="11"/>
        <v>6.25E-2</v>
      </c>
      <c r="G35" t="s">
        <v>121</v>
      </c>
      <c r="H35">
        <f>E7+F6</f>
        <v>132</v>
      </c>
      <c r="I35" s="22">
        <f t="shared" si="8"/>
        <v>0.29203539823008851</v>
      </c>
      <c r="J35">
        <v>2</v>
      </c>
      <c r="K35" s="9">
        <f t="shared" si="10"/>
        <v>3.125E-2</v>
      </c>
      <c r="N35" s="35"/>
      <c r="O35" s="35"/>
      <c r="P35" s="35"/>
    </row>
    <row r="36" spans="1:17" x14ac:dyDescent="0.25">
      <c r="A36" t="s">
        <v>200</v>
      </c>
      <c r="B36">
        <f>I10</f>
        <v>0</v>
      </c>
      <c r="C36" s="11">
        <f t="shared" si="9"/>
        <v>0</v>
      </c>
      <c r="D36">
        <v>3</v>
      </c>
      <c r="E36" s="9">
        <f t="shared" si="11"/>
        <v>4.6875E-2</v>
      </c>
      <c r="G36" t="s">
        <v>198</v>
      </c>
      <c r="H36">
        <f>I10</f>
        <v>0</v>
      </c>
      <c r="I36" s="14">
        <f t="shared" si="8"/>
        <v>0</v>
      </c>
      <c r="J36">
        <v>1</v>
      </c>
      <c r="K36" s="9">
        <f t="shared" si="10"/>
        <v>1.5625E-2</v>
      </c>
      <c r="N36" s="35"/>
      <c r="O36" s="35"/>
      <c r="P36" s="35"/>
    </row>
    <row r="37" spans="1:17" x14ac:dyDescent="0.25">
      <c r="A37" t="s">
        <v>134</v>
      </c>
      <c r="B37">
        <f>SUM(I9:I10,H8:H10, G7:G9, F6:F8,E7)</f>
        <v>149</v>
      </c>
      <c r="C37" s="11">
        <f t="shared" si="9"/>
        <v>0.32964601769911506</v>
      </c>
      <c r="D37">
        <v>12</v>
      </c>
      <c r="E37" s="9">
        <f t="shared" si="11"/>
        <v>0.1875</v>
      </c>
      <c r="G37" t="s">
        <v>1</v>
      </c>
      <c r="H37">
        <f>I10+H9+G8+F7</f>
        <v>17</v>
      </c>
      <c r="I37" s="14">
        <f t="shared" si="8"/>
        <v>3.7610619469026552E-2</v>
      </c>
      <c r="J37">
        <v>4</v>
      </c>
      <c r="K37" s="9">
        <f t="shared" si="10"/>
        <v>6.25E-2</v>
      </c>
      <c r="N37" s="35"/>
      <c r="O37" s="35"/>
      <c r="P37" s="35"/>
    </row>
    <row r="38" spans="1:17" x14ac:dyDescent="0.25">
      <c r="A38" t="s">
        <v>135</v>
      </c>
      <c r="B38">
        <f>SUM(E10:I10, E9:I9, E8:I8, E7:I7, F6:I6)</f>
        <v>171</v>
      </c>
      <c r="C38" s="11">
        <f t="shared" si="9"/>
        <v>0.37831858407079644</v>
      </c>
      <c r="D38">
        <v>24</v>
      </c>
      <c r="E38" s="9">
        <f t="shared" si="11"/>
        <v>0.375</v>
      </c>
      <c r="G38" t="s">
        <v>137</v>
      </c>
      <c r="H38">
        <f>SUM(F10:I10, F9:I9, F8:I8, F7:I7)</f>
        <v>17</v>
      </c>
      <c r="I38" s="14">
        <f t="shared" si="8"/>
        <v>3.7610619469026552E-2</v>
      </c>
      <c r="J38">
        <v>16</v>
      </c>
      <c r="K38" s="9">
        <f t="shared" si="10"/>
        <v>0.25</v>
      </c>
      <c r="P38" s="35"/>
    </row>
    <row r="39" spans="1:17" x14ac:dyDescent="0.25">
      <c r="A39" t="s">
        <v>136</v>
      </c>
      <c r="B39">
        <f>SUM(B10:I10, C9:I9, D8:I8, E7:I7, F6:I6, G5:I5, H4:I4, I3)</f>
        <v>249</v>
      </c>
      <c r="C39" s="11">
        <f t="shared" si="9"/>
        <v>0.55088495575221241</v>
      </c>
      <c r="D39">
        <v>36</v>
      </c>
      <c r="E39" s="9">
        <f t="shared" si="11"/>
        <v>0.5625</v>
      </c>
      <c r="G39" t="s">
        <v>138</v>
      </c>
      <c r="H39">
        <f>SUM(C10:I10, D9:I9, E8:I8, F7:I7,G6:I6, H5:I5, I4)</f>
        <v>48</v>
      </c>
      <c r="I39" s="14">
        <f t="shared" si="8"/>
        <v>0.10619469026548672</v>
      </c>
      <c r="J39">
        <v>28</v>
      </c>
      <c r="K39" s="9">
        <f t="shared" si="10"/>
        <v>0.4375</v>
      </c>
    </row>
    <row r="40" spans="1:17" x14ac:dyDescent="0.25">
      <c r="C40" s="11"/>
      <c r="E40" s="9"/>
      <c r="I40" s="9"/>
      <c r="K40" s="9"/>
      <c r="N40" s="35"/>
      <c r="O40" s="35"/>
      <c r="P40" s="35"/>
    </row>
    <row r="41" spans="1:17" x14ac:dyDescent="0.25">
      <c r="A41" t="s">
        <v>124</v>
      </c>
      <c r="B41">
        <f>B29-B35</f>
        <v>236</v>
      </c>
      <c r="C41" s="11">
        <v>1</v>
      </c>
      <c r="D41">
        <v>60</v>
      </c>
      <c r="E41" s="9">
        <v>1</v>
      </c>
      <c r="G41" t="s">
        <v>125</v>
      </c>
      <c r="H41">
        <f>H29-H35</f>
        <v>320</v>
      </c>
      <c r="I41" s="9">
        <v>1</v>
      </c>
      <c r="J41">
        <v>62</v>
      </c>
      <c r="K41" s="9">
        <v>1</v>
      </c>
      <c r="N41" s="35"/>
      <c r="O41" s="35"/>
      <c r="P41" s="35"/>
    </row>
    <row r="42" spans="1:17" x14ac:dyDescent="0.25">
      <c r="A42" t="s">
        <v>80</v>
      </c>
      <c r="B42">
        <f>B34-B35</f>
        <v>140</v>
      </c>
      <c r="C42" s="11">
        <f>B42/B$41</f>
        <v>0.59322033898305082</v>
      </c>
      <c r="D42">
        <v>18</v>
      </c>
      <c r="E42" s="9">
        <f>D42/D$41</f>
        <v>0.3</v>
      </c>
      <c r="G42" t="s">
        <v>122</v>
      </c>
      <c r="H42">
        <f>H34-E7-F6</f>
        <v>153</v>
      </c>
      <c r="I42" s="9">
        <f>H42/$H$41</f>
        <v>0.47812500000000002</v>
      </c>
      <c r="J42">
        <v>6</v>
      </c>
      <c r="K42" s="9">
        <f>J42/J$41</f>
        <v>9.6774193548387094E-2</v>
      </c>
      <c r="N42" s="35"/>
      <c r="O42" s="35"/>
      <c r="P42" s="35"/>
    </row>
    <row r="43" spans="1:17" x14ac:dyDescent="0.25">
      <c r="C43" s="10"/>
      <c r="E43" s="9"/>
      <c r="N43" s="35"/>
      <c r="O43" s="35"/>
      <c r="P43" s="35"/>
    </row>
    <row r="44" spans="1:17" x14ac:dyDescent="0.25">
      <c r="A44" t="s">
        <v>81</v>
      </c>
      <c r="B44">
        <f>B29-B34</f>
        <v>96</v>
      </c>
      <c r="C44" s="10">
        <f t="shared" ref="C44:C52" si="12">B44/B$44</f>
        <v>1</v>
      </c>
      <c r="D44">
        <v>42</v>
      </c>
      <c r="E44" s="9">
        <f t="shared" ref="E44:E52" si="13">D44/D$44</f>
        <v>1</v>
      </c>
      <c r="G44" t="s">
        <v>129</v>
      </c>
      <c r="H44">
        <f>H29-H34</f>
        <v>167</v>
      </c>
      <c r="I44" s="32">
        <f>H44/H$44</f>
        <v>1</v>
      </c>
      <c r="J44">
        <f>J29-J34</f>
        <v>56</v>
      </c>
      <c r="K44" s="9">
        <f t="shared" ref="K44:K52" si="14">J44/J$44</f>
        <v>1</v>
      </c>
      <c r="N44" s="35"/>
      <c r="O44" s="35"/>
      <c r="P44" s="35"/>
    </row>
    <row r="45" spans="1:17" x14ac:dyDescent="0.25">
      <c r="A45" t="s">
        <v>82</v>
      </c>
      <c r="B45">
        <f>B30</f>
        <v>7</v>
      </c>
      <c r="C45" s="11">
        <f t="shared" si="12"/>
        <v>7.2916666666666671E-2</v>
      </c>
      <c r="D45">
        <v>3</v>
      </c>
      <c r="E45" s="9">
        <f t="shared" si="13"/>
        <v>7.1428571428571425E-2</v>
      </c>
      <c r="G45" t="s">
        <v>130</v>
      </c>
      <c r="H45">
        <f>H30</f>
        <v>1</v>
      </c>
      <c r="I45" s="32">
        <f>H45/H$44</f>
        <v>5.9880239520958087E-3</v>
      </c>
      <c r="J45">
        <v>1</v>
      </c>
      <c r="K45" s="9">
        <f t="shared" si="14"/>
        <v>1.7857142857142856E-2</v>
      </c>
      <c r="N45" s="35"/>
      <c r="O45" s="35"/>
      <c r="P45" s="35"/>
    </row>
    <row r="46" spans="1:17" x14ac:dyDescent="0.25">
      <c r="A46" t="s">
        <v>77</v>
      </c>
      <c r="B46">
        <f>B31-(SUM(E6:E7,F6))</f>
        <v>57</v>
      </c>
      <c r="C46" s="11">
        <f t="shared" si="12"/>
        <v>0.59375</v>
      </c>
      <c r="D46">
        <v>9</v>
      </c>
      <c r="E46" s="9">
        <f t="shared" si="13"/>
        <v>0.21428571428571427</v>
      </c>
      <c r="G46" t="s">
        <v>131</v>
      </c>
      <c r="H46">
        <f>H31</f>
        <v>90</v>
      </c>
      <c r="I46" s="32">
        <f>H46/H$44</f>
        <v>0.53892215568862278</v>
      </c>
      <c r="J46">
        <v>4</v>
      </c>
      <c r="K46" s="9">
        <f t="shared" si="14"/>
        <v>7.1428571428571425E-2</v>
      </c>
      <c r="N46" s="35"/>
      <c r="O46" s="35"/>
      <c r="P46" s="35"/>
    </row>
    <row r="47" spans="1:17" x14ac:dyDescent="0.25">
      <c r="A47" t="s">
        <v>78</v>
      </c>
      <c r="B47">
        <f>$B$32-SUM($D$7, $E$6:E$7, $F$5:$F$6)</f>
        <v>82</v>
      </c>
      <c r="C47" s="11">
        <f t="shared" si="12"/>
        <v>0.85416666666666663</v>
      </c>
      <c r="D47">
        <v>19</v>
      </c>
      <c r="E47" s="9">
        <f t="shared" si="13"/>
        <v>0.45238095238095238</v>
      </c>
      <c r="G47" t="s">
        <v>132</v>
      </c>
      <c r="H47">
        <f>H32</f>
        <v>149</v>
      </c>
      <c r="I47" s="32">
        <f t="shared" ref="I47:I52" si="15">H47/H$44</f>
        <v>0.89221556886227549</v>
      </c>
      <c r="J47">
        <v>16</v>
      </c>
      <c r="K47" s="9">
        <f t="shared" si="14"/>
        <v>0.2857142857142857</v>
      </c>
      <c r="N47" s="35"/>
      <c r="O47" s="35"/>
      <c r="P47" s="35"/>
    </row>
    <row r="48" spans="1:17" x14ac:dyDescent="0.25">
      <c r="A48" t="s">
        <v>79</v>
      </c>
      <c r="B48">
        <f>B$33-SUM(B$9:B$10, C$8:C$9, D$7:D$8, E$6:E$7, F$5:F$6, G$4:G$5, H$3:H$4, I$3)</f>
        <v>86</v>
      </c>
      <c r="C48" s="11">
        <f t="shared" si="12"/>
        <v>0.89583333333333337</v>
      </c>
      <c r="D48">
        <v>21</v>
      </c>
      <c r="E48" s="9">
        <f t="shared" si="13"/>
        <v>0.5</v>
      </c>
      <c r="G48" t="s">
        <v>133</v>
      </c>
      <c r="H48">
        <f>H33</f>
        <v>203</v>
      </c>
      <c r="I48" s="32">
        <f t="shared" si="15"/>
        <v>1.215568862275449</v>
      </c>
      <c r="J48">
        <v>28</v>
      </c>
      <c r="K48" s="9">
        <f t="shared" si="14"/>
        <v>0.5</v>
      </c>
      <c r="P48" s="35"/>
      <c r="Q48" s="35"/>
    </row>
    <row r="49" spans="1:21" x14ac:dyDescent="0.25">
      <c r="A49" t="s">
        <v>201</v>
      </c>
      <c r="B49">
        <f>B36</f>
        <v>0</v>
      </c>
      <c r="C49" s="11">
        <f t="shared" si="12"/>
        <v>0</v>
      </c>
      <c r="D49">
        <v>3</v>
      </c>
      <c r="E49" s="9">
        <f t="shared" si="13"/>
        <v>7.1428571428571425E-2</v>
      </c>
      <c r="G49" t="s">
        <v>199</v>
      </c>
      <c r="H49">
        <v>0</v>
      </c>
      <c r="I49" s="32">
        <f t="shared" si="15"/>
        <v>0</v>
      </c>
      <c r="J49">
        <v>1</v>
      </c>
      <c r="K49" s="9">
        <f t="shared" si="14"/>
        <v>1.7857142857142856E-2</v>
      </c>
    </row>
    <row r="50" spans="1:21" x14ac:dyDescent="0.25">
      <c r="A50" t="s">
        <v>139</v>
      </c>
      <c r="B50">
        <f>B37-SUM(F6:F7,E7)</f>
        <v>7</v>
      </c>
      <c r="C50" s="11">
        <f t="shared" si="12"/>
        <v>7.2916666666666671E-2</v>
      </c>
      <c r="D50">
        <v>9</v>
      </c>
      <c r="E50" s="9">
        <f t="shared" si="13"/>
        <v>0.21428571428571427</v>
      </c>
      <c r="G50" t="s">
        <v>0</v>
      </c>
      <c r="H50">
        <f>I10+H9+G8+F7</f>
        <v>17</v>
      </c>
      <c r="I50" s="32">
        <f t="shared" si="15"/>
        <v>0.10179640718562874</v>
      </c>
      <c r="J50">
        <v>4</v>
      </c>
      <c r="K50" s="9">
        <f t="shared" si="14"/>
        <v>7.1428571428571425E-2</v>
      </c>
      <c r="N50" s="35"/>
      <c r="O50" s="35"/>
      <c r="P50" s="35"/>
    </row>
    <row r="51" spans="1:21" x14ac:dyDescent="0.25">
      <c r="A51" t="s">
        <v>140</v>
      </c>
      <c r="B51">
        <f>SUM(E10:I10, E9:I9, F8:I8, G7:I7, H6:I6)</f>
        <v>8</v>
      </c>
      <c r="C51" s="11">
        <f t="shared" si="12"/>
        <v>8.3333333333333329E-2</v>
      </c>
      <c r="D51">
        <v>19</v>
      </c>
      <c r="E51" s="9">
        <f t="shared" si="13"/>
        <v>0.45238095238095238</v>
      </c>
      <c r="G51" t="s">
        <v>143</v>
      </c>
      <c r="H51">
        <f>SUM(F7:I10)</f>
        <v>17</v>
      </c>
      <c r="I51" s="32">
        <f t="shared" si="15"/>
        <v>0.10179640718562874</v>
      </c>
      <c r="J51">
        <v>16</v>
      </c>
      <c r="K51" s="9">
        <f t="shared" si="14"/>
        <v>0.2857142857142857</v>
      </c>
      <c r="N51" s="35"/>
      <c r="O51" s="35"/>
      <c r="P51" s="35"/>
      <c r="R51" s="41"/>
    </row>
    <row r="52" spans="1:21" x14ac:dyDescent="0.25">
      <c r="A52" t="s">
        <v>141</v>
      </c>
      <c r="B52">
        <f>SUM(D10:I10, E9:I9, F8:I8, G7:I7, H6:I6, I5)</f>
        <v>10</v>
      </c>
      <c r="C52" s="11">
        <f t="shared" si="12"/>
        <v>0.10416666666666667</v>
      </c>
      <c r="D52">
        <v>21</v>
      </c>
      <c r="E52" s="9">
        <f t="shared" si="13"/>
        <v>0.5</v>
      </c>
      <c r="G52" t="s">
        <v>144</v>
      </c>
      <c r="H52">
        <f>H39</f>
        <v>48</v>
      </c>
      <c r="I52" s="32">
        <f t="shared" si="15"/>
        <v>0.28742514970059879</v>
      </c>
      <c r="J52">
        <v>28</v>
      </c>
      <c r="K52" s="9">
        <f t="shared" si="14"/>
        <v>0.5</v>
      </c>
      <c r="N52" s="35"/>
      <c r="O52" s="35"/>
      <c r="P52" s="35"/>
      <c r="S52" s="35"/>
      <c r="T52" s="35"/>
      <c r="U52" s="35"/>
    </row>
    <row r="53" spans="1:21" x14ac:dyDescent="0.25">
      <c r="N53" s="35"/>
      <c r="O53" s="35"/>
      <c r="P53" s="35"/>
      <c r="S53" s="35"/>
      <c r="T53" s="35"/>
      <c r="U53" s="35"/>
    </row>
    <row r="54" spans="1:21" x14ac:dyDescent="0.25">
      <c r="A54" t="s">
        <v>196</v>
      </c>
      <c r="B54">
        <f>B29</f>
        <v>452</v>
      </c>
      <c r="C54" s="11">
        <v>1</v>
      </c>
      <c r="D54">
        <v>64</v>
      </c>
      <c r="E54">
        <v>100</v>
      </c>
      <c r="G54" t="s">
        <v>197</v>
      </c>
      <c r="H54">
        <v>324</v>
      </c>
      <c r="I54" s="11">
        <v>1</v>
      </c>
      <c r="J54">
        <v>64</v>
      </c>
      <c r="K54" s="11">
        <v>1</v>
      </c>
      <c r="N54" s="35"/>
      <c r="O54" s="35"/>
      <c r="P54" s="35"/>
      <c r="S54" s="35"/>
      <c r="T54" s="35"/>
      <c r="U54" s="35"/>
    </row>
    <row r="55" spans="1:21" x14ac:dyDescent="0.25">
      <c r="A55" t="s">
        <v>142</v>
      </c>
      <c r="B55">
        <f>B46</f>
        <v>57</v>
      </c>
      <c r="C55" s="11">
        <f>B55/B$54</f>
        <v>0.12610619469026549</v>
      </c>
      <c r="D55">
        <f>D46</f>
        <v>9</v>
      </c>
      <c r="E55" s="9">
        <f>D55/D$54</f>
        <v>0.140625</v>
      </c>
      <c r="G55" t="s">
        <v>131</v>
      </c>
      <c r="H55">
        <f>H46</f>
        <v>90</v>
      </c>
      <c r="I55" s="32">
        <f>H55/H$54</f>
        <v>0.27777777777777779</v>
      </c>
      <c r="J55">
        <f>J46</f>
        <v>4</v>
      </c>
      <c r="K55" s="9">
        <f>J55/J$54</f>
        <v>6.25E-2</v>
      </c>
      <c r="N55" s="35"/>
      <c r="O55" s="35"/>
      <c r="P55" s="35"/>
      <c r="S55" s="35"/>
      <c r="T55" s="35"/>
      <c r="U55" s="35"/>
    </row>
    <row r="56" spans="1:21" x14ac:dyDescent="0.25">
      <c r="A56" t="s">
        <v>78</v>
      </c>
      <c r="B56">
        <f t="shared" ref="B56:B61" si="16">B47</f>
        <v>82</v>
      </c>
      <c r="C56" s="11">
        <f t="shared" ref="C56:C61" si="17">B56/B$54</f>
        <v>0.18141592920353983</v>
      </c>
      <c r="D56">
        <f t="shared" ref="D56:D61" si="18">D47</f>
        <v>19</v>
      </c>
      <c r="E56" s="9">
        <f t="shared" ref="E56:E61" si="19">D56/D$54</f>
        <v>0.296875</v>
      </c>
      <c r="G56" t="s">
        <v>132</v>
      </c>
      <c r="H56">
        <f t="shared" ref="H56:H61" si="20">H47</f>
        <v>149</v>
      </c>
      <c r="I56" s="32">
        <f t="shared" ref="I56:I61" si="21">H56/H$54</f>
        <v>0.45987654320987653</v>
      </c>
      <c r="J56">
        <f t="shared" ref="J56:J61" si="22">J47</f>
        <v>16</v>
      </c>
      <c r="K56" s="9">
        <f t="shared" ref="K56:K61" si="23">J56/J$54</f>
        <v>0.25</v>
      </c>
      <c r="N56" s="35"/>
      <c r="O56" s="35"/>
      <c r="P56" s="35"/>
      <c r="S56" s="35"/>
      <c r="T56" s="35"/>
      <c r="U56" s="35"/>
    </row>
    <row r="57" spans="1:21" x14ac:dyDescent="0.25">
      <c r="A57" t="s">
        <v>79</v>
      </c>
      <c r="B57">
        <f t="shared" si="16"/>
        <v>86</v>
      </c>
      <c r="C57" s="11">
        <f t="shared" si="17"/>
        <v>0.19026548672566371</v>
      </c>
      <c r="D57">
        <f t="shared" si="18"/>
        <v>21</v>
      </c>
      <c r="E57" s="9">
        <f t="shared" si="19"/>
        <v>0.328125</v>
      </c>
      <c r="G57" t="s">
        <v>133</v>
      </c>
      <c r="H57">
        <f t="shared" si="20"/>
        <v>203</v>
      </c>
      <c r="I57" s="32">
        <f t="shared" si="21"/>
        <v>0.62654320987654322</v>
      </c>
      <c r="J57">
        <f t="shared" si="22"/>
        <v>28</v>
      </c>
      <c r="K57" s="9">
        <f t="shared" si="23"/>
        <v>0.4375</v>
      </c>
      <c r="N57" s="35"/>
      <c r="O57" s="35"/>
      <c r="P57" s="35"/>
      <c r="S57" s="35"/>
      <c r="T57" s="35"/>
      <c r="U57" s="35"/>
    </row>
    <row r="58" spans="1:21" x14ac:dyDescent="0.25">
      <c r="A58" t="s">
        <v>201</v>
      </c>
      <c r="B58">
        <f t="shared" si="16"/>
        <v>0</v>
      </c>
      <c r="C58" s="11">
        <f t="shared" si="17"/>
        <v>0</v>
      </c>
      <c r="D58">
        <f t="shared" si="18"/>
        <v>3</v>
      </c>
      <c r="E58" s="9">
        <f t="shared" si="19"/>
        <v>4.6875E-2</v>
      </c>
      <c r="G58" t="s">
        <v>199</v>
      </c>
      <c r="H58">
        <f t="shared" si="20"/>
        <v>0</v>
      </c>
      <c r="I58" s="32">
        <f t="shared" si="21"/>
        <v>0</v>
      </c>
      <c r="J58">
        <f t="shared" si="22"/>
        <v>1</v>
      </c>
      <c r="K58" s="9">
        <f t="shared" si="23"/>
        <v>1.5625E-2</v>
      </c>
      <c r="N58" s="35"/>
      <c r="O58" s="35"/>
      <c r="P58" s="35"/>
      <c r="S58" s="35"/>
      <c r="T58" s="35"/>
      <c r="U58" s="35"/>
    </row>
    <row r="59" spans="1:21" x14ac:dyDescent="0.25">
      <c r="A59" t="s">
        <v>139</v>
      </c>
      <c r="B59">
        <f t="shared" si="16"/>
        <v>7</v>
      </c>
      <c r="C59" s="11">
        <f t="shared" si="17"/>
        <v>1.5486725663716814E-2</v>
      </c>
      <c r="D59">
        <f t="shared" si="18"/>
        <v>9</v>
      </c>
      <c r="E59" s="9">
        <f t="shared" si="19"/>
        <v>0.140625</v>
      </c>
      <c r="G59" t="s">
        <v>0</v>
      </c>
      <c r="H59">
        <f t="shared" si="20"/>
        <v>17</v>
      </c>
      <c r="I59" s="32">
        <f t="shared" si="21"/>
        <v>5.2469135802469133E-2</v>
      </c>
      <c r="J59">
        <f t="shared" si="22"/>
        <v>4</v>
      </c>
      <c r="K59" s="9">
        <f t="shared" si="23"/>
        <v>6.25E-2</v>
      </c>
      <c r="N59" s="35"/>
      <c r="O59" s="35"/>
      <c r="P59" s="35"/>
      <c r="S59" s="35"/>
      <c r="T59" s="35"/>
      <c r="U59" s="35"/>
    </row>
    <row r="60" spans="1:21" x14ac:dyDescent="0.25">
      <c r="A60" t="s">
        <v>140</v>
      </c>
      <c r="B60">
        <f t="shared" si="16"/>
        <v>8</v>
      </c>
      <c r="C60" s="11">
        <f t="shared" si="17"/>
        <v>1.7699115044247787E-2</v>
      </c>
      <c r="D60">
        <f t="shared" si="18"/>
        <v>19</v>
      </c>
      <c r="E60" s="9">
        <f t="shared" si="19"/>
        <v>0.296875</v>
      </c>
      <c r="G60" t="s">
        <v>143</v>
      </c>
      <c r="H60">
        <f t="shared" si="20"/>
        <v>17</v>
      </c>
      <c r="I60" s="32">
        <f t="shared" si="21"/>
        <v>5.2469135802469133E-2</v>
      </c>
      <c r="J60">
        <f t="shared" si="22"/>
        <v>16</v>
      </c>
      <c r="K60" s="9">
        <f t="shared" si="23"/>
        <v>0.25</v>
      </c>
      <c r="N60" s="35"/>
      <c r="O60" s="35"/>
      <c r="P60" s="35"/>
      <c r="R60" s="35"/>
      <c r="S60" s="35"/>
      <c r="T60" s="35"/>
      <c r="U60" s="35"/>
    </row>
    <row r="61" spans="1:21" x14ac:dyDescent="0.25">
      <c r="A61" t="s">
        <v>141</v>
      </c>
      <c r="B61">
        <f t="shared" si="16"/>
        <v>10</v>
      </c>
      <c r="C61" s="11">
        <f t="shared" si="17"/>
        <v>2.2123893805309734E-2</v>
      </c>
      <c r="D61">
        <f t="shared" si="18"/>
        <v>21</v>
      </c>
      <c r="E61" s="9">
        <f t="shared" si="19"/>
        <v>0.328125</v>
      </c>
      <c r="G61" t="s">
        <v>144</v>
      </c>
      <c r="H61">
        <f t="shared" si="20"/>
        <v>48</v>
      </c>
      <c r="I61" s="32">
        <f t="shared" si="21"/>
        <v>0.14814814814814814</v>
      </c>
      <c r="J61">
        <f t="shared" si="22"/>
        <v>28</v>
      </c>
      <c r="K61" s="9">
        <f t="shared" si="23"/>
        <v>0.4375</v>
      </c>
      <c r="N61" s="35"/>
      <c r="O61" s="35"/>
      <c r="P61" s="35"/>
    </row>
    <row r="62" spans="1:21" x14ac:dyDescent="0.25">
      <c r="N62" s="35"/>
      <c r="O62" s="35"/>
      <c r="P62" s="35"/>
    </row>
    <row r="63" spans="1:21" x14ac:dyDescent="0.25">
      <c r="N63" s="35"/>
      <c r="O63" s="35"/>
      <c r="P63" s="35"/>
    </row>
    <row r="64" spans="1:21" x14ac:dyDescent="0.25">
      <c r="N64" s="35"/>
      <c r="O64" s="35"/>
      <c r="P64" s="35"/>
    </row>
    <row r="65" spans="14:16" x14ac:dyDescent="0.25">
      <c r="N65" s="35"/>
      <c r="O65" s="35"/>
      <c r="P65" s="35"/>
    </row>
    <row r="67" spans="14:16" x14ac:dyDescent="0.25">
      <c r="N67" s="35"/>
      <c r="O67" s="35"/>
      <c r="P67" s="35"/>
    </row>
    <row r="68" spans="14:16" x14ac:dyDescent="0.25">
      <c r="N68" s="35"/>
      <c r="O68" s="35"/>
      <c r="P68" s="35"/>
    </row>
    <row r="69" spans="14:16" x14ac:dyDescent="0.25">
      <c r="N69" s="35"/>
      <c r="O69" s="35"/>
      <c r="P69" s="35"/>
    </row>
    <row r="70" spans="14:16" x14ac:dyDescent="0.25">
      <c r="N70" s="35"/>
      <c r="O70" s="35"/>
      <c r="P70" s="35"/>
    </row>
    <row r="71" spans="14:16" x14ac:dyDescent="0.25">
      <c r="N71" s="35"/>
      <c r="O71" s="35"/>
      <c r="P71" s="35"/>
    </row>
    <row r="72" spans="14:16" x14ac:dyDescent="0.25">
      <c r="N72" s="35"/>
      <c r="O72" s="35"/>
      <c r="P72" s="35"/>
    </row>
    <row r="73" spans="14:16" x14ac:dyDescent="0.25">
      <c r="N73" s="35"/>
      <c r="O73" s="35"/>
      <c r="P73" s="35"/>
    </row>
    <row r="74" spans="14:16" x14ac:dyDescent="0.25">
      <c r="N74" s="35"/>
      <c r="O74" s="35"/>
      <c r="P74" s="35"/>
    </row>
    <row r="75" spans="14:16" x14ac:dyDescent="0.25">
      <c r="N75" s="35"/>
      <c r="O75" s="35"/>
      <c r="P75" s="35"/>
    </row>
    <row r="76" spans="14:16" x14ac:dyDescent="0.25">
      <c r="N76" s="35"/>
      <c r="O76" s="35"/>
      <c r="P76" s="35"/>
    </row>
    <row r="77" spans="14:16" x14ac:dyDescent="0.25">
      <c r="N77" s="35"/>
      <c r="O77" s="35"/>
      <c r="P77" s="35"/>
    </row>
    <row r="78" spans="14:16" x14ac:dyDescent="0.25">
      <c r="N78" s="35"/>
      <c r="O78" s="35"/>
      <c r="P78" s="35"/>
    </row>
    <row r="79" spans="14:16" x14ac:dyDescent="0.25">
      <c r="N79" s="35"/>
      <c r="O79" s="35"/>
      <c r="P79" s="35"/>
    </row>
    <row r="80" spans="14:16" x14ac:dyDescent="0.25">
      <c r="N80" s="35"/>
      <c r="O80" s="35"/>
      <c r="P80" s="35"/>
    </row>
    <row r="81" spans="14:16" x14ac:dyDescent="0.25">
      <c r="N81" s="35"/>
      <c r="O81" s="35"/>
      <c r="P81" s="35"/>
    </row>
    <row r="82" spans="14:16" x14ac:dyDescent="0.25">
      <c r="P82" s="3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29" workbookViewId="0">
      <selection activeCell="O53" sqref="O53"/>
    </sheetView>
  </sheetViews>
  <sheetFormatPr defaultRowHeight="15" x14ac:dyDescent="0.25"/>
  <sheetData>
    <row r="1" spans="1:11" x14ac:dyDescent="0.25">
      <c r="A1" s="47" t="s">
        <v>258</v>
      </c>
      <c r="B1" s="47"/>
      <c r="C1" s="47"/>
      <c r="D1" s="47"/>
      <c r="E1" s="47"/>
      <c r="F1" s="47"/>
      <c r="G1" s="47"/>
      <c r="H1" s="47"/>
      <c r="I1" s="47"/>
      <c r="J1" s="47"/>
    </row>
    <row r="2" spans="1:11" x14ac:dyDescent="0.25">
      <c r="A2" s="47" t="s">
        <v>61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x14ac:dyDescent="0.25">
      <c r="A3" s="47" t="s">
        <v>55</v>
      </c>
      <c r="B3" s="47">
        <v>3.1250000000000002E-3</v>
      </c>
      <c r="C3" s="47">
        <v>9.3749999999999997E-3</v>
      </c>
      <c r="D3" s="47">
        <v>6.2500000000000003E-3</v>
      </c>
      <c r="E3" s="47">
        <v>2.1874999999999999E-2</v>
      </c>
      <c r="F3" s="47">
        <v>2.1874999999999999E-2</v>
      </c>
      <c r="G3" s="47">
        <v>3.1250000000000002E-3</v>
      </c>
      <c r="H3" s="47">
        <v>6.2500000000000003E-3</v>
      </c>
      <c r="I3" s="47">
        <v>9.3749999999999997E-3</v>
      </c>
      <c r="J3" s="47">
        <v>8.1250000000000003E-2</v>
      </c>
    </row>
    <row r="4" spans="1:11" x14ac:dyDescent="0.25">
      <c r="A4" s="47" t="s">
        <v>56</v>
      </c>
      <c r="B4" s="47">
        <v>0</v>
      </c>
      <c r="C4" s="47">
        <v>6.2500000000000003E-3</v>
      </c>
      <c r="D4" s="47">
        <v>1.5625E-2</v>
      </c>
      <c r="E4" s="47">
        <v>3.125E-2</v>
      </c>
      <c r="F4" s="47">
        <v>9.3749999999999997E-3</v>
      </c>
      <c r="G4" s="47">
        <v>3.1250000000000002E-3</v>
      </c>
      <c r="H4" s="47">
        <v>6.2500000000000003E-3</v>
      </c>
      <c r="I4" s="47">
        <v>3.1250000000000002E-3</v>
      </c>
      <c r="J4" s="47">
        <v>7.5000000000000011E-2</v>
      </c>
    </row>
    <row r="5" spans="1:11" x14ac:dyDescent="0.25">
      <c r="A5" s="47" t="s">
        <v>57</v>
      </c>
      <c r="B5" s="47">
        <v>0</v>
      </c>
      <c r="C5" s="47">
        <v>3.1250000000000002E-3</v>
      </c>
      <c r="D5" s="47">
        <v>2.5000000000000001E-2</v>
      </c>
      <c r="E5" s="47">
        <v>5.3124999999999999E-2</v>
      </c>
      <c r="F5" s="47">
        <v>1.2500000000000001E-2</v>
      </c>
      <c r="G5" s="47">
        <v>2.1874999999999999E-2</v>
      </c>
      <c r="H5" s="47">
        <v>6.2500000000000003E-3</v>
      </c>
      <c r="I5" s="47">
        <v>9.3749999999999997E-3</v>
      </c>
      <c r="J5" s="47">
        <v>0.13125000000000001</v>
      </c>
    </row>
    <row r="6" spans="1:11" x14ac:dyDescent="0.25">
      <c r="A6" s="47" t="s">
        <v>59</v>
      </c>
      <c r="B6" s="47">
        <v>0</v>
      </c>
      <c r="C6" s="47">
        <v>1.2500000000000001E-2</v>
      </c>
      <c r="D6" s="47">
        <v>4.0625000000000001E-2</v>
      </c>
      <c r="E6" s="47">
        <v>5.6250000000000001E-2</v>
      </c>
      <c r="F6" s="47">
        <v>6.25E-2</v>
      </c>
      <c r="G6" s="47">
        <v>9.3749999999999997E-3</v>
      </c>
      <c r="H6" s="47">
        <v>6.2500000000000003E-3</v>
      </c>
      <c r="I6" s="47">
        <v>0</v>
      </c>
      <c r="J6" s="47">
        <v>0.1875</v>
      </c>
    </row>
    <row r="7" spans="1:11" x14ac:dyDescent="0.25">
      <c r="A7" s="47" t="s">
        <v>60</v>
      </c>
      <c r="B7" s="47">
        <v>3.1250000000000002E-3</v>
      </c>
      <c r="C7" s="47">
        <v>6.2500000000000003E-3</v>
      </c>
      <c r="D7" s="47">
        <v>6.8750000000000006E-2</v>
      </c>
      <c r="E7" s="47">
        <v>0.171875</v>
      </c>
      <c r="F7" s="47">
        <v>3.125E-2</v>
      </c>
      <c r="G7" s="47">
        <v>1.2500000000000001E-2</v>
      </c>
      <c r="H7" s="47">
        <v>3.1250000000000002E-3</v>
      </c>
      <c r="I7" s="47">
        <v>3.1250000000000002E-3</v>
      </c>
      <c r="J7" s="47">
        <v>0.3</v>
      </c>
    </row>
    <row r="8" spans="1:11" x14ac:dyDescent="0.25">
      <c r="A8" s="47" t="s">
        <v>62</v>
      </c>
      <c r="B8" s="47">
        <v>0</v>
      </c>
      <c r="C8" s="47">
        <v>6.2500000000000003E-3</v>
      </c>
      <c r="D8" s="47">
        <v>6.8750000000000006E-2</v>
      </c>
      <c r="E8" s="47">
        <v>5.3124999999999999E-2</v>
      </c>
      <c r="F8" s="47">
        <v>1.2500000000000001E-2</v>
      </c>
      <c r="G8" s="47">
        <v>3.1250000000000002E-3</v>
      </c>
      <c r="H8" s="47">
        <v>3.1250000000000002E-3</v>
      </c>
      <c r="I8" s="47">
        <v>0</v>
      </c>
      <c r="J8" s="47">
        <v>0.14687500000000001</v>
      </c>
    </row>
    <row r="9" spans="1:11" x14ac:dyDescent="0.25">
      <c r="A9" s="47" t="s">
        <v>63</v>
      </c>
      <c r="B9" s="47">
        <v>3.1250000000000002E-3</v>
      </c>
      <c r="C9" s="47">
        <v>1.8749999999999999E-2</v>
      </c>
      <c r="D9" s="47">
        <v>1.8749999999999999E-2</v>
      </c>
      <c r="E9" s="47">
        <v>1.2500000000000001E-2</v>
      </c>
      <c r="F9" s="47">
        <v>3.1250000000000002E-3</v>
      </c>
      <c r="G9" s="47">
        <v>0</v>
      </c>
      <c r="H9" s="47">
        <v>0</v>
      </c>
      <c r="I9" s="47">
        <v>0</v>
      </c>
      <c r="J9" s="47">
        <v>5.6249999999999994E-2</v>
      </c>
    </row>
    <row r="10" spans="1:11" x14ac:dyDescent="0.25">
      <c r="A10" s="47" t="s">
        <v>64</v>
      </c>
      <c r="B10" s="47">
        <v>1.2500000000000001E-2</v>
      </c>
      <c r="C10" s="47">
        <v>0</v>
      </c>
      <c r="D10" s="47">
        <v>6.2500000000000003E-3</v>
      </c>
      <c r="E10" s="47">
        <v>3.1250000000000002E-3</v>
      </c>
      <c r="F10" s="47">
        <v>0</v>
      </c>
      <c r="G10" s="47">
        <v>0</v>
      </c>
      <c r="H10" s="47">
        <v>0</v>
      </c>
      <c r="I10" s="47">
        <v>0</v>
      </c>
      <c r="J10" s="47">
        <v>2.1875000000000002E-2</v>
      </c>
    </row>
    <row r="11" spans="1:11" x14ac:dyDescent="0.25">
      <c r="A11" s="47" t="s">
        <v>91</v>
      </c>
      <c r="B11" s="47">
        <v>2.1875000000000002E-2</v>
      </c>
      <c r="C11" s="47">
        <v>6.25E-2</v>
      </c>
      <c r="D11" s="47">
        <v>0.25</v>
      </c>
      <c r="E11" s="47">
        <v>0.40312499999999996</v>
      </c>
      <c r="F11" s="47">
        <v>0.15312500000000001</v>
      </c>
      <c r="G11" s="47">
        <v>5.3125000000000006E-2</v>
      </c>
      <c r="H11" s="47">
        <v>3.125E-2</v>
      </c>
      <c r="I11" s="47">
        <v>2.4999999999999998E-2</v>
      </c>
      <c r="J11" s="47">
        <v>1</v>
      </c>
    </row>
    <row r="12" spans="1:11" x14ac:dyDescent="0.25">
      <c r="A12" s="47" t="s">
        <v>88</v>
      </c>
      <c r="B12" s="47" t="s">
        <v>64</v>
      </c>
      <c r="C12" s="47" t="s">
        <v>63</v>
      </c>
      <c r="D12" s="47" t="s">
        <v>62</v>
      </c>
      <c r="E12" s="47" t="s">
        <v>60</v>
      </c>
      <c r="F12" s="47" t="s">
        <v>59</v>
      </c>
      <c r="G12" s="47" t="s">
        <v>57</v>
      </c>
      <c r="H12" s="47" t="s">
        <v>89</v>
      </c>
      <c r="I12" s="47" t="s">
        <v>55</v>
      </c>
      <c r="J12" s="47"/>
    </row>
    <row r="14" spans="1:11" x14ac:dyDescent="0.25">
      <c r="A14" s="47" t="s">
        <v>259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7" t="s">
        <v>61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7" t="s">
        <v>55</v>
      </c>
      <c r="B16" s="47">
        <v>0</v>
      </c>
      <c r="C16" s="47">
        <v>3.0864197530864196E-3</v>
      </c>
      <c r="D16" s="47">
        <v>0</v>
      </c>
      <c r="E16" s="47">
        <v>6.1728395061728392E-3</v>
      </c>
      <c r="F16" s="47">
        <v>9.2592592592592587E-3</v>
      </c>
      <c r="G16" s="47">
        <v>3.0864197530864196E-3</v>
      </c>
      <c r="H16" s="47">
        <v>0</v>
      </c>
      <c r="I16" s="47">
        <v>3.0864197530864196E-3</v>
      </c>
      <c r="J16" s="47">
        <v>2.4691358024691357E-2</v>
      </c>
      <c r="K16" s="47"/>
    </row>
    <row r="17" spans="1:11" x14ac:dyDescent="0.25">
      <c r="A17" s="47" t="s">
        <v>56</v>
      </c>
      <c r="B17" s="47">
        <v>0</v>
      </c>
      <c r="C17" s="47">
        <v>3.0864197530864196E-3</v>
      </c>
      <c r="D17" s="47">
        <v>1.2345679012345678E-2</v>
      </c>
      <c r="E17" s="47">
        <v>1.2345679012345678E-2</v>
      </c>
      <c r="F17" s="47">
        <v>3.0864197530864196E-3</v>
      </c>
      <c r="G17" s="47">
        <v>1.2345679012345678E-2</v>
      </c>
      <c r="H17" s="47">
        <v>9.2592592592592587E-3</v>
      </c>
      <c r="I17" s="47">
        <v>3.0864197530864196E-3</v>
      </c>
      <c r="J17" s="47">
        <v>5.5555555555555552E-2</v>
      </c>
      <c r="K17" s="47"/>
    </row>
    <row r="18" spans="1:11" x14ac:dyDescent="0.25">
      <c r="A18" s="47" t="s">
        <v>57</v>
      </c>
      <c r="B18" s="47">
        <v>0</v>
      </c>
      <c r="C18" s="47">
        <v>6.1728395061728392E-3</v>
      </c>
      <c r="D18" s="47">
        <v>4.6296296296296294E-2</v>
      </c>
      <c r="E18" s="47">
        <v>5.8641975308641972E-2</v>
      </c>
      <c r="F18" s="47">
        <v>3.3950617283950615E-2</v>
      </c>
      <c r="G18" s="47">
        <v>6.7901234567901231E-2</v>
      </c>
      <c r="H18" s="47">
        <v>3.0864197530864196E-3</v>
      </c>
      <c r="I18" s="47">
        <v>3.0864197530864196E-3</v>
      </c>
      <c r="J18" s="47">
        <v>0.21913580246913578</v>
      </c>
      <c r="K18" s="47"/>
    </row>
    <row r="19" spans="1:11" x14ac:dyDescent="0.25">
      <c r="A19" s="47" t="s">
        <v>59</v>
      </c>
      <c r="B19" s="47">
        <v>0</v>
      </c>
      <c r="C19" s="47">
        <v>3.0864197530864196E-3</v>
      </c>
      <c r="D19" s="47">
        <v>1.8518518518518517E-2</v>
      </c>
      <c r="E19" s="47">
        <v>0.13580246913580246</v>
      </c>
      <c r="F19" s="47">
        <v>9.5679012345679007E-2</v>
      </c>
      <c r="G19" s="47">
        <v>2.4691358024691357E-2</v>
      </c>
      <c r="H19" s="47">
        <v>0</v>
      </c>
      <c r="I19" s="47">
        <v>3.0864197530864196E-3</v>
      </c>
      <c r="J19" s="47">
        <v>0.28086419753086417</v>
      </c>
      <c r="K19" s="47"/>
    </row>
    <row r="20" spans="1:11" x14ac:dyDescent="0.25">
      <c r="A20" s="47" t="s">
        <v>60</v>
      </c>
      <c r="B20" s="47">
        <v>9.2592592592592587E-3</v>
      </c>
      <c r="C20" s="47">
        <v>1.5432098765432098E-2</v>
      </c>
      <c r="D20" s="47">
        <v>4.0123456790123455E-2</v>
      </c>
      <c r="E20" s="47">
        <v>0.12345679012345678</v>
      </c>
      <c r="F20" s="47">
        <v>2.4691358024691357E-2</v>
      </c>
      <c r="G20" s="47">
        <v>2.4691358024691357E-2</v>
      </c>
      <c r="H20" s="47">
        <v>9.2592592592592587E-3</v>
      </c>
      <c r="I20" s="47">
        <v>0</v>
      </c>
      <c r="J20" s="47">
        <v>0.24691358024691357</v>
      </c>
      <c r="K20" s="47"/>
    </row>
    <row r="21" spans="1:11" x14ac:dyDescent="0.25">
      <c r="A21" s="47" t="s">
        <v>62</v>
      </c>
      <c r="B21" s="47">
        <v>0</v>
      </c>
      <c r="C21" s="47">
        <v>0</v>
      </c>
      <c r="D21" s="47">
        <v>3.7037037037037035E-2</v>
      </c>
      <c r="E21" s="47">
        <v>3.3950617283950615E-2</v>
      </c>
      <c r="F21" s="47">
        <v>2.4691358024691357E-2</v>
      </c>
      <c r="G21" s="47">
        <v>1.5432098765432098E-2</v>
      </c>
      <c r="H21" s="47">
        <v>0</v>
      </c>
      <c r="I21" s="47">
        <v>0</v>
      </c>
      <c r="J21" s="47">
        <v>0.1111111111111111</v>
      </c>
      <c r="K21" s="47"/>
    </row>
    <row r="22" spans="1:11" x14ac:dyDescent="0.25">
      <c r="A22" s="47" t="s">
        <v>63</v>
      </c>
      <c r="B22" s="47">
        <v>3.0864197530864196E-3</v>
      </c>
      <c r="C22" s="47">
        <v>1.8518518518518517E-2</v>
      </c>
      <c r="D22" s="47">
        <v>1.2345679012345678E-2</v>
      </c>
      <c r="E22" s="47">
        <v>0</v>
      </c>
      <c r="F22" s="47">
        <v>6.1728395061728392E-3</v>
      </c>
      <c r="G22" s="47">
        <v>9.2592592592592587E-3</v>
      </c>
      <c r="H22" s="47">
        <v>3.0864197530864196E-3</v>
      </c>
      <c r="I22" s="47">
        <v>0</v>
      </c>
      <c r="J22" s="47">
        <v>5.2469135802469133E-2</v>
      </c>
      <c r="K22" s="47"/>
    </row>
    <row r="23" spans="1:11" x14ac:dyDescent="0.25">
      <c r="A23" s="47" t="s">
        <v>64</v>
      </c>
      <c r="B23" s="47">
        <v>3.0864197530864196E-3</v>
      </c>
      <c r="C23" s="47">
        <v>0</v>
      </c>
      <c r="D23" s="47">
        <v>3.0864197530864196E-3</v>
      </c>
      <c r="E23" s="47">
        <v>3.0864197530864196E-3</v>
      </c>
      <c r="F23" s="47">
        <v>0</v>
      </c>
      <c r="G23" s="47">
        <v>0</v>
      </c>
      <c r="H23" s="47">
        <v>0</v>
      </c>
      <c r="I23" s="47">
        <v>0</v>
      </c>
      <c r="J23" s="47">
        <v>9.2592592592592587E-3</v>
      </c>
      <c r="K23" s="47"/>
    </row>
    <row r="24" spans="1:11" x14ac:dyDescent="0.25">
      <c r="A24" s="47" t="s">
        <v>91</v>
      </c>
      <c r="B24" s="47">
        <v>1.5432098765432098E-2</v>
      </c>
      <c r="C24" s="47">
        <v>4.9382716049382713E-2</v>
      </c>
      <c r="D24" s="47">
        <v>0.16975308641975306</v>
      </c>
      <c r="E24" s="47">
        <v>0.37345679012345678</v>
      </c>
      <c r="F24" s="47">
        <v>0.19753086419753085</v>
      </c>
      <c r="G24" s="47">
        <v>0.15740740740740738</v>
      </c>
      <c r="H24" s="47">
        <v>2.4691358024691357E-2</v>
      </c>
      <c r="I24" s="47">
        <v>1.2345679012345678E-2</v>
      </c>
      <c r="J24" s="47">
        <v>1</v>
      </c>
      <c r="K24" s="47"/>
    </row>
    <row r="25" spans="1:11" x14ac:dyDescent="0.25">
      <c r="A25" s="47" t="s">
        <v>88</v>
      </c>
      <c r="B25" s="47" t="s">
        <v>64</v>
      </c>
      <c r="C25" s="47" t="s">
        <v>63</v>
      </c>
      <c r="D25" s="47" t="s">
        <v>62</v>
      </c>
      <c r="E25" s="47" t="s">
        <v>60</v>
      </c>
      <c r="F25" s="47" t="s">
        <v>59</v>
      </c>
      <c r="G25" s="47" t="s">
        <v>57</v>
      </c>
      <c r="H25" s="47" t="s">
        <v>89</v>
      </c>
      <c r="I25" s="47" t="s">
        <v>55</v>
      </c>
      <c r="J25" s="47"/>
      <c r="K25" s="47"/>
    </row>
    <row r="26" spans="1:11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25">
      <c r="A27" s="47" t="s">
        <v>260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47" t="s">
        <v>61</v>
      </c>
      <c r="B28" s="47"/>
      <c r="C28" s="47"/>
      <c r="D28" s="47"/>
      <c r="E28" s="47"/>
      <c r="F28" s="47"/>
      <c r="G28" s="47"/>
      <c r="H28" s="47"/>
      <c r="I28" s="47"/>
      <c r="J28" s="47" t="s">
        <v>270</v>
      </c>
      <c r="K28" s="47"/>
    </row>
    <row r="29" spans="1:11" x14ac:dyDescent="0.25">
      <c r="A29" s="47" t="s">
        <v>55</v>
      </c>
      <c r="B29" s="47">
        <f>(B3+B16)/2</f>
        <v>1.5625000000000001E-3</v>
      </c>
      <c r="C29" s="47">
        <f t="shared" ref="C29:J29" si="0">(C3+C16)/2</f>
        <v>6.2307098765432096E-3</v>
      </c>
      <c r="D29" s="47">
        <f t="shared" si="0"/>
        <v>3.1250000000000002E-3</v>
      </c>
      <c r="E29" s="47">
        <f t="shared" si="0"/>
        <v>1.4023919753086419E-2</v>
      </c>
      <c r="F29" s="47">
        <f t="shared" si="0"/>
        <v>1.5567129629629629E-2</v>
      </c>
      <c r="G29" s="47">
        <f t="shared" si="0"/>
        <v>3.1057098765432099E-3</v>
      </c>
      <c r="H29" s="47">
        <f t="shared" si="0"/>
        <v>3.1250000000000002E-3</v>
      </c>
      <c r="I29" s="47">
        <f t="shared" si="0"/>
        <v>6.2307098765432096E-3</v>
      </c>
      <c r="J29" s="48">
        <f t="shared" si="0"/>
        <v>5.297067901234568E-2</v>
      </c>
      <c r="K29" s="47"/>
    </row>
    <row r="30" spans="1:11" x14ac:dyDescent="0.25">
      <c r="A30" s="47" t="s">
        <v>56</v>
      </c>
      <c r="B30" s="47">
        <f t="shared" ref="B30:J37" si="1">(B4+B17)/2</f>
        <v>0</v>
      </c>
      <c r="C30" s="47">
        <f t="shared" si="1"/>
        <v>4.66820987654321E-3</v>
      </c>
      <c r="D30" s="47">
        <f t="shared" si="1"/>
        <v>1.3985339506172839E-2</v>
      </c>
      <c r="E30" s="47">
        <f t="shared" si="1"/>
        <v>2.1797839506172839E-2</v>
      </c>
      <c r="F30" s="47">
        <f t="shared" si="1"/>
        <v>6.2307098765432096E-3</v>
      </c>
      <c r="G30" s="47">
        <f t="shared" si="1"/>
        <v>7.7353395061728388E-3</v>
      </c>
      <c r="H30" s="47">
        <f t="shared" si="1"/>
        <v>7.7546296296296295E-3</v>
      </c>
      <c r="I30" s="47">
        <f t="shared" si="1"/>
        <v>3.1057098765432099E-3</v>
      </c>
      <c r="J30" s="48">
        <f t="shared" si="1"/>
        <v>6.5277777777777782E-2</v>
      </c>
      <c r="K30" s="47"/>
    </row>
    <row r="31" spans="1:11" x14ac:dyDescent="0.25">
      <c r="A31" s="47" t="s">
        <v>57</v>
      </c>
      <c r="B31" s="47">
        <f t="shared" si="1"/>
        <v>0</v>
      </c>
      <c r="C31" s="47">
        <f t="shared" si="1"/>
        <v>4.6489197530864192E-3</v>
      </c>
      <c r="D31" s="47">
        <f t="shared" si="1"/>
        <v>3.5648148148148151E-2</v>
      </c>
      <c r="E31" s="47">
        <f t="shared" si="1"/>
        <v>5.5883487654320982E-2</v>
      </c>
      <c r="F31" s="47">
        <f t="shared" si="1"/>
        <v>2.3225308641975306E-2</v>
      </c>
      <c r="G31" s="47">
        <f t="shared" si="1"/>
        <v>4.4888117283950618E-2</v>
      </c>
      <c r="H31" s="47">
        <f t="shared" si="1"/>
        <v>4.66820987654321E-3</v>
      </c>
      <c r="I31" s="47">
        <f t="shared" si="1"/>
        <v>6.2307098765432096E-3</v>
      </c>
      <c r="J31" s="48">
        <f t="shared" si="1"/>
        <v>0.17519290123456788</v>
      </c>
      <c r="K31" s="47"/>
    </row>
    <row r="32" spans="1:11" x14ac:dyDescent="0.25">
      <c r="A32" s="47" t="s">
        <v>59</v>
      </c>
      <c r="B32" s="47">
        <f t="shared" si="1"/>
        <v>0</v>
      </c>
      <c r="C32" s="47">
        <f t="shared" si="1"/>
        <v>7.7932098765432101E-3</v>
      </c>
      <c r="D32" s="47">
        <f t="shared" si="1"/>
        <v>2.9571759259259259E-2</v>
      </c>
      <c r="E32" s="47">
        <f t="shared" si="1"/>
        <v>9.6026234567901228E-2</v>
      </c>
      <c r="F32" s="47">
        <f t="shared" si="1"/>
        <v>7.9089506172839497E-2</v>
      </c>
      <c r="G32" s="47">
        <f t="shared" si="1"/>
        <v>1.7033179012345679E-2</v>
      </c>
      <c r="H32" s="47">
        <f t="shared" si="1"/>
        <v>3.1250000000000002E-3</v>
      </c>
      <c r="I32" s="47">
        <f t="shared" si="1"/>
        <v>1.5432098765432098E-3</v>
      </c>
      <c r="J32" s="48">
        <f t="shared" si="1"/>
        <v>0.23418209876543208</v>
      </c>
      <c r="K32" s="47"/>
    </row>
    <row r="33" spans="1:11" x14ac:dyDescent="0.25">
      <c r="A33" s="47" t="s">
        <v>60</v>
      </c>
      <c r="B33" s="47">
        <f t="shared" si="1"/>
        <v>6.192129629629629E-3</v>
      </c>
      <c r="C33" s="47">
        <f t="shared" si="1"/>
        <v>1.0841049382716048E-2</v>
      </c>
      <c r="D33" s="47">
        <f t="shared" si="1"/>
        <v>5.443672839506173E-2</v>
      </c>
      <c r="E33" s="47">
        <f t="shared" si="1"/>
        <v>0.14766589506172839</v>
      </c>
      <c r="F33" s="47">
        <f t="shared" si="1"/>
        <v>2.7970679012345678E-2</v>
      </c>
      <c r="G33" s="47">
        <f t="shared" si="1"/>
        <v>1.8595679012345677E-2</v>
      </c>
      <c r="H33" s="47">
        <f t="shared" si="1"/>
        <v>6.192129629629629E-3</v>
      </c>
      <c r="I33" s="47">
        <f t="shared" si="1"/>
        <v>1.5625000000000001E-3</v>
      </c>
      <c r="J33" s="48">
        <f t="shared" si="1"/>
        <v>0.27345679012345681</v>
      </c>
      <c r="K33" s="47"/>
    </row>
    <row r="34" spans="1:11" x14ac:dyDescent="0.25">
      <c r="A34" s="47" t="s">
        <v>62</v>
      </c>
      <c r="B34" s="47">
        <f t="shared" si="1"/>
        <v>0</v>
      </c>
      <c r="C34" s="47">
        <f t="shared" si="1"/>
        <v>3.1250000000000002E-3</v>
      </c>
      <c r="D34" s="47">
        <f t="shared" si="1"/>
        <v>5.289351851851852E-2</v>
      </c>
      <c r="E34" s="47">
        <f t="shared" si="1"/>
        <v>4.3537808641975304E-2</v>
      </c>
      <c r="F34" s="47">
        <f t="shared" si="1"/>
        <v>1.8595679012345677E-2</v>
      </c>
      <c r="G34" s="47">
        <f t="shared" si="1"/>
        <v>9.2785493827160486E-3</v>
      </c>
      <c r="H34" s="47">
        <f t="shared" si="1"/>
        <v>1.5625000000000001E-3</v>
      </c>
      <c r="I34" s="47">
        <f t="shared" si="1"/>
        <v>0</v>
      </c>
      <c r="J34" s="48">
        <f t="shared" si="1"/>
        <v>0.12899305555555557</v>
      </c>
      <c r="K34" s="47"/>
    </row>
    <row r="35" spans="1:11" x14ac:dyDescent="0.25">
      <c r="A35" s="47" t="s">
        <v>63</v>
      </c>
      <c r="B35" s="47">
        <f t="shared" si="1"/>
        <v>3.1057098765432099E-3</v>
      </c>
      <c r="C35" s="47">
        <f t="shared" si="1"/>
        <v>1.863425925925926E-2</v>
      </c>
      <c r="D35" s="47">
        <f t="shared" si="1"/>
        <v>1.5547839506172839E-2</v>
      </c>
      <c r="E35" s="47">
        <f t="shared" si="1"/>
        <v>6.2500000000000003E-3</v>
      </c>
      <c r="F35" s="47">
        <f t="shared" si="1"/>
        <v>4.6489197530864192E-3</v>
      </c>
      <c r="G35" s="47">
        <f t="shared" si="1"/>
        <v>4.6296296296296294E-3</v>
      </c>
      <c r="H35" s="47">
        <f t="shared" si="1"/>
        <v>1.5432098765432098E-3</v>
      </c>
      <c r="I35" s="47">
        <f t="shared" si="1"/>
        <v>0</v>
      </c>
      <c r="J35" s="48">
        <f t="shared" si="1"/>
        <v>5.4359567901234564E-2</v>
      </c>
      <c r="K35" s="47"/>
    </row>
    <row r="36" spans="1:11" x14ac:dyDescent="0.25">
      <c r="A36" s="47" t="s">
        <v>64</v>
      </c>
      <c r="B36" s="47">
        <f t="shared" si="1"/>
        <v>7.7932098765432101E-3</v>
      </c>
      <c r="C36" s="47">
        <f t="shared" si="1"/>
        <v>0</v>
      </c>
      <c r="D36" s="47">
        <f t="shared" si="1"/>
        <v>4.66820987654321E-3</v>
      </c>
      <c r="E36" s="47">
        <f t="shared" si="1"/>
        <v>3.1057098765432099E-3</v>
      </c>
      <c r="F36" s="47">
        <f t="shared" si="1"/>
        <v>0</v>
      </c>
      <c r="G36" s="47">
        <f t="shared" si="1"/>
        <v>0</v>
      </c>
      <c r="H36" s="47">
        <f t="shared" si="1"/>
        <v>0</v>
      </c>
      <c r="I36" s="47">
        <f t="shared" si="1"/>
        <v>0</v>
      </c>
      <c r="J36" s="48">
        <f t="shared" si="1"/>
        <v>1.556712962962963E-2</v>
      </c>
      <c r="K36" s="47"/>
    </row>
    <row r="37" spans="1:11" x14ac:dyDescent="0.25">
      <c r="A37" s="48" t="s">
        <v>91</v>
      </c>
      <c r="B37" s="48">
        <f t="shared" si="1"/>
        <v>1.8653549382716052E-2</v>
      </c>
      <c r="C37" s="48">
        <f t="shared" si="1"/>
        <v>5.5941358024691357E-2</v>
      </c>
      <c r="D37" s="48">
        <f t="shared" si="1"/>
        <v>0.20987654320987653</v>
      </c>
      <c r="E37" s="48">
        <f t="shared" si="1"/>
        <v>0.38829089506172837</v>
      </c>
      <c r="F37" s="48">
        <f t="shared" si="1"/>
        <v>0.17532793209876543</v>
      </c>
      <c r="G37" s="48">
        <f t="shared" si="1"/>
        <v>0.1052662037037037</v>
      </c>
      <c r="H37" s="48">
        <f t="shared" si="1"/>
        <v>2.7970679012345678E-2</v>
      </c>
      <c r="I37" s="48">
        <f t="shared" si="1"/>
        <v>1.8672839506172836E-2</v>
      </c>
      <c r="J37" s="48">
        <f t="shared" si="1"/>
        <v>1</v>
      </c>
      <c r="K37" s="47"/>
    </row>
    <row r="38" spans="1:11" x14ac:dyDescent="0.25">
      <c r="A38" s="47" t="s">
        <v>88</v>
      </c>
      <c r="B38" s="47" t="s">
        <v>64</v>
      </c>
      <c r="C38" s="47" t="s">
        <v>63</v>
      </c>
      <c r="D38" s="47" t="s">
        <v>62</v>
      </c>
      <c r="E38" s="47" t="s">
        <v>60</v>
      </c>
      <c r="F38" s="47" t="s">
        <v>59</v>
      </c>
      <c r="G38" s="47" t="s">
        <v>57</v>
      </c>
      <c r="H38" s="47" t="s">
        <v>89</v>
      </c>
      <c r="I38" s="47" t="s">
        <v>55</v>
      </c>
      <c r="J38" s="47"/>
      <c r="K38" s="47"/>
    </row>
    <row r="39" spans="1:11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</row>
    <row r="40" spans="1:11" x14ac:dyDescent="0.25">
      <c r="A40" s="8"/>
      <c r="B40" s="7"/>
      <c r="C40" s="7"/>
      <c r="D40" s="7"/>
      <c r="E40" s="7"/>
      <c r="F40" s="7"/>
      <c r="G40" s="8" t="s">
        <v>104</v>
      </c>
      <c r="H40" s="7"/>
      <c r="I40" s="54"/>
      <c r="J40" s="7"/>
      <c r="K40" s="7"/>
    </row>
    <row r="41" spans="1:11" x14ac:dyDescent="0.25">
      <c r="A41" s="8"/>
      <c r="B41" s="7"/>
      <c r="C41" s="7"/>
      <c r="D41" s="7"/>
      <c r="E41" s="7"/>
      <c r="F41" s="7"/>
      <c r="G41" s="8" t="s">
        <v>102</v>
      </c>
      <c r="H41" s="7"/>
      <c r="I41" s="54" t="s">
        <v>69</v>
      </c>
      <c r="J41" s="7" t="s">
        <v>70</v>
      </c>
      <c r="K41" s="7" t="s">
        <v>69</v>
      </c>
    </row>
    <row r="42" spans="1:11" x14ac:dyDescent="0.25">
      <c r="C42" s="9"/>
      <c r="E42" s="9"/>
      <c r="G42" t="s">
        <v>71</v>
      </c>
      <c r="I42" s="28">
        <f>J37</f>
        <v>1</v>
      </c>
      <c r="J42">
        <v>64</v>
      </c>
      <c r="K42" s="9">
        <f>J42/J42</f>
        <v>1</v>
      </c>
    </row>
    <row r="43" spans="1:11" x14ac:dyDescent="0.25">
      <c r="C43" s="11"/>
      <c r="E43" s="9"/>
      <c r="G43" t="s">
        <v>116</v>
      </c>
      <c r="I43" s="28">
        <f>B29</f>
        <v>1.5625000000000001E-3</v>
      </c>
      <c r="J43">
        <v>1</v>
      </c>
      <c r="K43" s="9">
        <f t="shared" ref="K43:K52" si="2">J43/J$29</f>
        <v>18.878368536052438</v>
      </c>
    </row>
    <row r="44" spans="1:11" x14ac:dyDescent="0.25">
      <c r="C44" s="11"/>
      <c r="E44" s="9"/>
      <c r="G44" t="s">
        <v>117</v>
      </c>
      <c r="I44" s="28">
        <f>B29+C30+D31+E32</f>
        <v>0.13790509259259259</v>
      </c>
      <c r="J44">
        <v>4</v>
      </c>
      <c r="K44" s="9">
        <f t="shared" si="2"/>
        <v>75.513474144209752</v>
      </c>
    </row>
    <row r="45" spans="1:11" x14ac:dyDescent="0.25">
      <c r="C45" s="11"/>
      <c r="E45" s="9"/>
      <c r="G45" t="s">
        <v>118</v>
      </c>
      <c r="I45" s="28">
        <f>SUM(B29:B32)+SUM(C29:C32)+SUM(D29:D32)+SUM(E29:E32)</f>
        <v>0.29496527777777776</v>
      </c>
      <c r="J45">
        <v>16</v>
      </c>
      <c r="K45" s="9">
        <f t="shared" si="2"/>
        <v>302.05389657683901</v>
      </c>
    </row>
    <row r="46" spans="1:11" x14ac:dyDescent="0.25">
      <c r="C46" s="11"/>
      <c r="E46" s="9"/>
      <c r="G46" t="s">
        <v>119</v>
      </c>
      <c r="I46" s="28">
        <f>SUM(B29:B35)+SUM(C29:C34)+SUM(D29:D33)+SUM(E29:E32)+SUM(F29:F31)+SUM(G29:G30)+H29</f>
        <v>0.4316550925925926</v>
      </c>
      <c r="J46">
        <v>28</v>
      </c>
      <c r="K46" s="9">
        <f t="shared" si="2"/>
        <v>528.59431900946834</v>
      </c>
    </row>
    <row r="47" spans="1:11" x14ac:dyDescent="0.25">
      <c r="C47" s="11"/>
      <c r="E47" s="9"/>
      <c r="G47" t="s">
        <v>269</v>
      </c>
      <c r="H47" s="10"/>
      <c r="I47" s="52">
        <f>B36+C35+D34+E33+E32+F32+F33+G31+H30+I29</f>
        <v>0.48894675925925923</v>
      </c>
      <c r="J47">
        <v>10</v>
      </c>
      <c r="K47" s="9">
        <f t="shared" si="2"/>
        <v>188.7836853605244</v>
      </c>
    </row>
    <row r="48" spans="1:11" x14ac:dyDescent="0.25">
      <c r="C48" s="11"/>
      <c r="E48" s="9"/>
      <c r="G48" t="s">
        <v>121</v>
      </c>
      <c r="I48" s="52">
        <f t="shared" ref="I48" si="3">H48/$H$29</f>
        <v>0</v>
      </c>
      <c r="J48">
        <v>2</v>
      </c>
      <c r="K48" s="9">
        <f t="shared" si="2"/>
        <v>37.756737072104876</v>
      </c>
    </row>
    <row r="49" spans="3:11" x14ac:dyDescent="0.25">
      <c r="C49" s="11"/>
      <c r="E49" s="9"/>
      <c r="G49" t="s">
        <v>198</v>
      </c>
      <c r="I49" s="53">
        <f>I36</f>
        <v>0</v>
      </c>
      <c r="J49">
        <v>1</v>
      </c>
      <c r="K49" s="9">
        <f t="shared" si="2"/>
        <v>18.878368536052438</v>
      </c>
    </row>
    <row r="50" spans="3:11" x14ac:dyDescent="0.25">
      <c r="C50" s="11"/>
      <c r="E50" s="9"/>
      <c r="G50" t="s">
        <v>1</v>
      </c>
      <c r="I50" s="53">
        <f>I36+H35+G34+F33</f>
        <v>3.8792438271604938E-2</v>
      </c>
      <c r="J50">
        <v>4</v>
      </c>
      <c r="K50" s="9">
        <f t="shared" si="2"/>
        <v>75.513474144209752</v>
      </c>
    </row>
    <row r="51" spans="3:11" x14ac:dyDescent="0.25">
      <c r="C51" s="11"/>
      <c r="E51" s="9"/>
      <c r="G51" t="s">
        <v>137</v>
      </c>
      <c r="I51" s="53">
        <f>SUM(F32:I36)</f>
        <v>0.19537037037037036</v>
      </c>
      <c r="J51">
        <v>16</v>
      </c>
      <c r="K51" s="9">
        <f t="shared" si="2"/>
        <v>302.05389657683901</v>
      </c>
    </row>
    <row r="52" spans="3:11" x14ac:dyDescent="0.25">
      <c r="C52" s="11"/>
      <c r="E52" s="9"/>
      <c r="G52" t="s">
        <v>138</v>
      </c>
      <c r="I52" s="53">
        <f>SUM(C36:I36)+SUM(D35:I35)+SUM(E34:I34)+SUM(F33:I33)+SUM(G32:I32)+SUM(H31:I31)+I30</f>
        <v>0.20339506172839508</v>
      </c>
      <c r="J52">
        <v>28</v>
      </c>
      <c r="K52" s="9">
        <f t="shared" si="2"/>
        <v>528.59431900946834</v>
      </c>
    </row>
    <row r="53" spans="3:11" x14ac:dyDescent="0.25">
      <c r="C53" s="11"/>
      <c r="E53" s="9"/>
      <c r="I53" s="28"/>
      <c r="K53" s="9"/>
    </row>
    <row r="54" spans="3:11" x14ac:dyDescent="0.25">
      <c r="C54" s="11"/>
      <c r="E54" s="9"/>
      <c r="G54" t="s">
        <v>125</v>
      </c>
      <c r="I54" s="28">
        <v>1</v>
      </c>
      <c r="J54">
        <v>62</v>
      </c>
      <c r="K54" s="9">
        <v>1</v>
      </c>
    </row>
    <row r="55" spans="3:11" x14ac:dyDescent="0.25">
      <c r="C55" s="11"/>
      <c r="E55" s="9"/>
      <c r="G55" t="s">
        <v>122</v>
      </c>
      <c r="I55" s="28" t="e">
        <f>H55/$H$41</f>
        <v>#DIV/0!</v>
      </c>
      <c r="J55">
        <v>6</v>
      </c>
      <c r="K55" s="9" t="e">
        <f>J55/J$41</f>
        <v>#VALUE!</v>
      </c>
    </row>
    <row r="56" spans="3:11" x14ac:dyDescent="0.25">
      <c r="C56" s="10"/>
      <c r="E56" s="9"/>
      <c r="I56" s="10"/>
    </row>
    <row r="57" spans="3:11" x14ac:dyDescent="0.25">
      <c r="C57" s="10"/>
      <c r="E57" s="9"/>
      <c r="G57" t="s">
        <v>129</v>
      </c>
      <c r="I57" s="55" t="e">
        <f>H57/H$44</f>
        <v>#DIV/0!</v>
      </c>
      <c r="J57">
        <f>J42-J47</f>
        <v>54</v>
      </c>
      <c r="K57" s="9">
        <f t="shared" ref="K57:K65" si="4">J57/J$44</f>
        <v>13.5</v>
      </c>
    </row>
    <row r="58" spans="3:11" x14ac:dyDescent="0.25">
      <c r="C58" s="11"/>
      <c r="E58" s="9"/>
      <c r="G58" t="s">
        <v>130</v>
      </c>
      <c r="I58" s="55" t="e">
        <f>H58/H$44</f>
        <v>#DIV/0!</v>
      </c>
      <c r="J58">
        <v>1</v>
      </c>
      <c r="K58" s="9">
        <f t="shared" si="4"/>
        <v>0.25</v>
      </c>
    </row>
    <row r="59" spans="3:11" x14ac:dyDescent="0.25">
      <c r="C59" s="11"/>
      <c r="E59" s="9"/>
      <c r="G59" t="s">
        <v>131</v>
      </c>
      <c r="I59" s="55" t="e">
        <f>H59/H$44</f>
        <v>#DIV/0!</v>
      </c>
      <c r="J59">
        <v>4</v>
      </c>
      <c r="K59" s="9">
        <f t="shared" si="4"/>
        <v>1</v>
      </c>
    </row>
    <row r="60" spans="3:11" x14ac:dyDescent="0.25">
      <c r="C60" s="11"/>
      <c r="E60" s="9"/>
      <c r="G60" t="s">
        <v>132</v>
      </c>
      <c r="I60" s="55" t="e">
        <f t="shared" ref="I60:I65" si="5">H60/H$44</f>
        <v>#DIV/0!</v>
      </c>
      <c r="J60">
        <v>16</v>
      </c>
      <c r="K60" s="9">
        <f t="shared" si="4"/>
        <v>4</v>
      </c>
    </row>
    <row r="61" spans="3:11" x14ac:dyDescent="0.25">
      <c r="C61" s="11"/>
      <c r="E61" s="9"/>
      <c r="G61" t="s">
        <v>133</v>
      </c>
      <c r="I61" s="55" t="e">
        <f t="shared" si="5"/>
        <v>#DIV/0!</v>
      </c>
      <c r="J61">
        <v>28</v>
      </c>
      <c r="K61" s="9">
        <f t="shared" si="4"/>
        <v>7</v>
      </c>
    </row>
    <row r="62" spans="3:11" x14ac:dyDescent="0.25">
      <c r="C62" s="11"/>
      <c r="E62" s="9"/>
      <c r="G62" t="s">
        <v>199</v>
      </c>
      <c r="I62" s="55" t="e">
        <f t="shared" si="5"/>
        <v>#DIV/0!</v>
      </c>
      <c r="J62">
        <v>1</v>
      </c>
      <c r="K62" s="9">
        <f t="shared" si="4"/>
        <v>0.25</v>
      </c>
    </row>
    <row r="63" spans="3:11" x14ac:dyDescent="0.25">
      <c r="C63" s="11"/>
      <c r="E63" s="9"/>
      <c r="G63" t="s">
        <v>0</v>
      </c>
      <c r="I63" s="55" t="e">
        <f t="shared" si="5"/>
        <v>#DIV/0!</v>
      </c>
      <c r="J63">
        <v>4</v>
      </c>
      <c r="K63" s="9">
        <f t="shared" si="4"/>
        <v>1</v>
      </c>
    </row>
    <row r="64" spans="3:11" x14ac:dyDescent="0.25">
      <c r="C64" s="11"/>
      <c r="E64" s="9"/>
      <c r="G64" t="s">
        <v>143</v>
      </c>
      <c r="I64" s="55" t="e">
        <f t="shared" si="5"/>
        <v>#DIV/0!</v>
      </c>
      <c r="J64">
        <v>16</v>
      </c>
      <c r="K64" s="9">
        <f t="shared" si="4"/>
        <v>4</v>
      </c>
    </row>
    <row r="65" spans="3:11" x14ac:dyDescent="0.25">
      <c r="C65" s="11"/>
      <c r="E65" s="9"/>
      <c r="G65" t="s">
        <v>144</v>
      </c>
      <c r="I65" s="55" t="e">
        <f t="shared" si="5"/>
        <v>#DIV/0!</v>
      </c>
      <c r="J65">
        <v>28</v>
      </c>
      <c r="K65" s="9">
        <f t="shared" si="4"/>
        <v>7</v>
      </c>
    </row>
    <row r="66" spans="3:11" x14ac:dyDescent="0.25">
      <c r="I66" s="10"/>
    </row>
    <row r="67" spans="3:11" x14ac:dyDescent="0.25">
      <c r="C67" s="11"/>
      <c r="G67" t="s">
        <v>197</v>
      </c>
      <c r="I67" s="10">
        <v>1</v>
      </c>
      <c r="J67">
        <v>64</v>
      </c>
      <c r="K67" s="11">
        <v>1</v>
      </c>
    </row>
    <row r="68" spans="3:11" x14ac:dyDescent="0.25">
      <c r="C68" s="11"/>
      <c r="E68" s="9"/>
      <c r="G68" t="s">
        <v>131</v>
      </c>
      <c r="I68" s="55" t="e">
        <f>H68/H$54</f>
        <v>#DIV/0!</v>
      </c>
      <c r="J68">
        <f>J59</f>
        <v>4</v>
      </c>
      <c r="K68" s="9">
        <f>J68/J$54</f>
        <v>6.4516129032258063E-2</v>
      </c>
    </row>
    <row r="69" spans="3:11" x14ac:dyDescent="0.25">
      <c r="C69" s="11"/>
      <c r="E69" s="9"/>
      <c r="G69" t="s">
        <v>132</v>
      </c>
      <c r="I69" s="55" t="e">
        <f t="shared" ref="I69:I74" si="6">H69/H$54</f>
        <v>#DIV/0!</v>
      </c>
      <c r="J69">
        <f t="shared" ref="J69:J74" si="7">J60</f>
        <v>16</v>
      </c>
      <c r="K69" s="9">
        <f t="shared" ref="K69:K74" si="8">J69/J$54</f>
        <v>0.25806451612903225</v>
      </c>
    </row>
    <row r="70" spans="3:11" x14ac:dyDescent="0.25">
      <c r="C70" s="11"/>
      <c r="E70" s="9"/>
      <c r="G70" t="s">
        <v>133</v>
      </c>
      <c r="I70" s="55" t="e">
        <f t="shared" si="6"/>
        <v>#DIV/0!</v>
      </c>
      <c r="J70">
        <f t="shared" si="7"/>
        <v>28</v>
      </c>
      <c r="K70" s="9">
        <f t="shared" si="8"/>
        <v>0.45161290322580644</v>
      </c>
    </row>
    <row r="71" spans="3:11" x14ac:dyDescent="0.25">
      <c r="C71" s="11"/>
      <c r="E71" s="9"/>
      <c r="G71" t="s">
        <v>199</v>
      </c>
      <c r="I71" s="55" t="e">
        <f t="shared" si="6"/>
        <v>#DIV/0!</v>
      </c>
      <c r="J71">
        <f t="shared" si="7"/>
        <v>1</v>
      </c>
      <c r="K71" s="9">
        <f t="shared" si="8"/>
        <v>1.6129032258064516E-2</v>
      </c>
    </row>
    <row r="72" spans="3:11" x14ac:dyDescent="0.25">
      <c r="C72" s="11"/>
      <c r="E72" s="9"/>
      <c r="G72" t="s">
        <v>0</v>
      </c>
      <c r="I72" s="55" t="e">
        <f t="shared" si="6"/>
        <v>#DIV/0!</v>
      </c>
      <c r="J72">
        <f t="shared" si="7"/>
        <v>4</v>
      </c>
      <c r="K72" s="9">
        <f t="shared" si="8"/>
        <v>6.4516129032258063E-2</v>
      </c>
    </row>
    <row r="73" spans="3:11" x14ac:dyDescent="0.25">
      <c r="C73" s="11"/>
      <c r="E73" s="9"/>
      <c r="G73" t="s">
        <v>143</v>
      </c>
      <c r="I73" s="55" t="e">
        <f t="shared" si="6"/>
        <v>#DIV/0!</v>
      </c>
      <c r="J73">
        <f t="shared" si="7"/>
        <v>16</v>
      </c>
      <c r="K73" s="9">
        <f t="shared" si="8"/>
        <v>0.25806451612903225</v>
      </c>
    </row>
    <row r="74" spans="3:11" x14ac:dyDescent="0.25">
      <c r="C74" s="11"/>
      <c r="E74" s="9"/>
      <c r="G74" t="s">
        <v>144</v>
      </c>
      <c r="I74" s="55" t="e">
        <f t="shared" si="6"/>
        <v>#DIV/0!</v>
      </c>
      <c r="J74">
        <f t="shared" si="7"/>
        <v>28</v>
      </c>
      <c r="K74" s="9">
        <f t="shared" si="8"/>
        <v>0.45161290322580644</v>
      </c>
    </row>
    <row r="75" spans="3:11" x14ac:dyDescent="0.25">
      <c r="I75" s="10"/>
    </row>
    <row r="76" spans="3:11" x14ac:dyDescent="0.25">
      <c r="G76" s="8"/>
      <c r="H76" s="7"/>
      <c r="I76" s="54" t="s">
        <v>69</v>
      </c>
      <c r="J76" s="7" t="s">
        <v>70</v>
      </c>
      <c r="K76" s="7" t="s">
        <v>69</v>
      </c>
    </row>
    <row r="77" spans="3:11" x14ac:dyDescent="0.25">
      <c r="G77" t="s">
        <v>197</v>
      </c>
      <c r="H77" s="36"/>
      <c r="I77" s="28">
        <v>1</v>
      </c>
      <c r="J77">
        <v>64</v>
      </c>
      <c r="K77" s="9">
        <v>1</v>
      </c>
    </row>
    <row r="78" spans="3:11" x14ac:dyDescent="0.25">
      <c r="H78" s="36"/>
      <c r="I78" s="10"/>
      <c r="K78" s="9"/>
    </row>
    <row r="79" spans="3:11" x14ac:dyDescent="0.25">
      <c r="H79" s="36"/>
      <c r="I79" s="10"/>
      <c r="K79" s="9"/>
    </row>
    <row r="80" spans="3:11" x14ac:dyDescent="0.25">
      <c r="G80" t="s">
        <v>251</v>
      </c>
      <c r="H80" s="36"/>
      <c r="I80" s="10" t="e">
        <f>H80/H77</f>
        <v>#DIV/0!</v>
      </c>
      <c r="J80">
        <v>15</v>
      </c>
      <c r="K80" s="9">
        <f>J80/J77</f>
        <v>0.234375</v>
      </c>
    </row>
    <row r="81" spans="7:11" x14ac:dyDescent="0.25">
      <c r="G81" t="s">
        <v>252</v>
      </c>
      <c r="H81" s="36"/>
      <c r="I81" s="10" t="e">
        <f>H81/H77</f>
        <v>#DIV/0!</v>
      </c>
      <c r="J81">
        <v>27</v>
      </c>
      <c r="K81" s="9">
        <f>J81/J77</f>
        <v>0.421875</v>
      </c>
    </row>
    <row r="82" spans="7:11" x14ac:dyDescent="0.25">
      <c r="H82" s="36"/>
      <c r="I82" s="10"/>
      <c r="K82" s="9"/>
    </row>
    <row r="83" spans="7:11" x14ac:dyDescent="0.25">
      <c r="H83" s="36"/>
      <c r="I83" s="10"/>
      <c r="K83" s="9"/>
    </row>
    <row r="84" spans="7:11" x14ac:dyDescent="0.25">
      <c r="H84" s="36"/>
      <c r="I84" s="10"/>
      <c r="K84" s="9"/>
    </row>
    <row r="85" spans="7:11" x14ac:dyDescent="0.25">
      <c r="H85" s="36"/>
      <c r="I85" s="10"/>
      <c r="K85" s="9"/>
    </row>
    <row r="86" spans="7:11" x14ac:dyDescent="0.25">
      <c r="G86" t="s">
        <v>253</v>
      </c>
      <c r="H86" s="36"/>
      <c r="I86" s="10" t="e">
        <f>H86/H77</f>
        <v>#DIV/0!</v>
      </c>
      <c r="J86">
        <v>15</v>
      </c>
      <c r="K86" s="9">
        <f>J86/J77</f>
        <v>0.234375</v>
      </c>
    </row>
    <row r="87" spans="7:11" x14ac:dyDescent="0.25">
      <c r="G87" t="s">
        <v>254</v>
      </c>
      <c r="H87" s="36"/>
      <c r="I87" s="10" t="e">
        <f>H87/H77</f>
        <v>#DIV/0!</v>
      </c>
      <c r="J87">
        <v>27</v>
      </c>
      <c r="K87" s="9">
        <f>J87/J77</f>
        <v>0.421875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23" workbookViewId="0">
      <selection activeCell="C29" sqref="C29"/>
    </sheetView>
  </sheetViews>
  <sheetFormatPr defaultRowHeight="15" x14ac:dyDescent="0.25"/>
  <sheetData>
    <row r="1" spans="1:11" x14ac:dyDescent="0.25">
      <c r="A1" t="s">
        <v>261</v>
      </c>
    </row>
    <row r="2" spans="1:11" x14ac:dyDescent="0.25">
      <c r="A2" s="47" t="s">
        <v>166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x14ac:dyDescent="0.25">
      <c r="A3" s="47" t="s">
        <v>61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x14ac:dyDescent="0.25">
      <c r="A4" s="47" t="s">
        <v>55</v>
      </c>
      <c r="B4" s="47">
        <v>0</v>
      </c>
      <c r="C4" s="47">
        <v>5.5555555555555558E-3</v>
      </c>
      <c r="D4" s="47">
        <v>1.6666666666666666E-2</v>
      </c>
      <c r="E4" s="47">
        <v>1.1111111111111112E-2</v>
      </c>
      <c r="F4" s="47">
        <v>0</v>
      </c>
      <c r="G4" s="47">
        <v>8.3333333333333332E-3</v>
      </c>
      <c r="H4" s="47">
        <v>5.5555555555555558E-3</v>
      </c>
      <c r="I4" s="47">
        <v>2.2222222222222223E-2</v>
      </c>
      <c r="J4" s="47">
        <v>6.9444444444444448E-2</v>
      </c>
      <c r="K4" s="47"/>
    </row>
    <row r="5" spans="1:11" x14ac:dyDescent="0.25">
      <c r="A5" s="47" t="s">
        <v>56</v>
      </c>
      <c r="B5" s="47">
        <v>0</v>
      </c>
      <c r="C5" s="47">
        <v>5.5555555555555558E-3</v>
      </c>
      <c r="D5" s="47">
        <v>8.3333333333333332E-3</v>
      </c>
      <c r="E5" s="47">
        <v>5.5555555555555558E-3</v>
      </c>
      <c r="F5" s="47">
        <v>2.7777777777777779E-3</v>
      </c>
      <c r="G5" s="47">
        <v>8.3333333333333332E-3</v>
      </c>
      <c r="H5" s="47">
        <v>5.5555555555555558E-3</v>
      </c>
      <c r="I5" s="47">
        <v>2.7777777777777779E-3</v>
      </c>
      <c r="J5" s="47">
        <v>3.888888888888889E-2</v>
      </c>
      <c r="K5" s="47"/>
    </row>
    <row r="6" spans="1:11" x14ac:dyDescent="0.25">
      <c r="A6" s="47" t="s">
        <v>57</v>
      </c>
      <c r="B6" s="47">
        <v>0</v>
      </c>
      <c r="C6" s="47">
        <v>0</v>
      </c>
      <c r="D6" s="47">
        <v>3.0555555555555555E-2</v>
      </c>
      <c r="E6" s="47">
        <v>6.1111111111111109E-2</v>
      </c>
      <c r="F6" s="47">
        <v>6.3888888888888884E-2</v>
      </c>
      <c r="G6" s="47">
        <v>4.1666666666666664E-2</v>
      </c>
      <c r="H6" s="47">
        <v>0</v>
      </c>
      <c r="I6" s="47">
        <v>0</v>
      </c>
      <c r="J6" s="47">
        <v>0.19722222222222222</v>
      </c>
      <c r="K6" s="47"/>
    </row>
    <row r="7" spans="1:11" x14ac:dyDescent="0.25">
      <c r="A7" s="47" t="s">
        <v>59</v>
      </c>
      <c r="B7" s="47">
        <v>0</v>
      </c>
      <c r="C7" s="47">
        <v>2.7777777777777779E-3</v>
      </c>
      <c r="D7" s="47">
        <v>1.6666666666666666E-2</v>
      </c>
      <c r="E7" s="47">
        <v>0.10833333333333334</v>
      </c>
      <c r="F7" s="47">
        <v>5.2777777777777778E-2</v>
      </c>
      <c r="G7" s="47">
        <v>2.7777777777777776E-2</v>
      </c>
      <c r="H7" s="47">
        <v>5.5555555555555558E-3</v>
      </c>
      <c r="I7" s="47">
        <v>0</v>
      </c>
      <c r="J7" s="47">
        <v>0.21388888888888888</v>
      </c>
      <c r="K7" s="47"/>
    </row>
    <row r="8" spans="1:11" x14ac:dyDescent="0.25">
      <c r="A8" s="47" t="s">
        <v>60</v>
      </c>
      <c r="B8" s="47">
        <v>0</v>
      </c>
      <c r="C8" s="47">
        <v>1.3888888888888888E-2</v>
      </c>
      <c r="D8" s="47">
        <v>5.5555555555555552E-2</v>
      </c>
      <c r="E8" s="47">
        <v>0.16388888888888889</v>
      </c>
      <c r="F8" s="47">
        <v>3.3333333333333333E-2</v>
      </c>
      <c r="G8" s="47">
        <v>8.3333333333333332E-3</v>
      </c>
      <c r="H8" s="47">
        <v>1.1111111111111112E-2</v>
      </c>
      <c r="I8" s="47">
        <v>5.5555555555555558E-3</v>
      </c>
      <c r="J8" s="47">
        <v>0.29166666666666669</v>
      </c>
      <c r="K8" s="47"/>
    </row>
    <row r="9" spans="1:11" x14ac:dyDescent="0.25">
      <c r="A9" s="47" t="s">
        <v>62</v>
      </c>
      <c r="B9" s="47">
        <v>0</v>
      </c>
      <c r="C9" s="47">
        <v>5.5555555555555558E-3</v>
      </c>
      <c r="D9" s="47">
        <v>4.7222222222222221E-2</v>
      </c>
      <c r="E9" s="47">
        <v>3.0555555555555555E-2</v>
      </c>
      <c r="F9" s="47">
        <v>2.7777777777777779E-3</v>
      </c>
      <c r="G9" s="47">
        <v>8.3333333333333332E-3</v>
      </c>
      <c r="H9" s="47">
        <v>0</v>
      </c>
      <c r="I9" s="47">
        <v>0</v>
      </c>
      <c r="J9" s="47">
        <v>9.4444444444444442E-2</v>
      </c>
      <c r="K9" s="47"/>
    </row>
    <row r="10" spans="1:11" x14ac:dyDescent="0.25">
      <c r="A10" s="47" t="s">
        <v>63</v>
      </c>
      <c r="B10" s="47">
        <v>0</v>
      </c>
      <c r="C10" s="47">
        <v>3.3333333333333333E-2</v>
      </c>
      <c r="D10" s="47">
        <v>2.2222222222222223E-2</v>
      </c>
      <c r="E10" s="47">
        <v>1.9444444444444445E-2</v>
      </c>
      <c r="F10" s="47">
        <v>0</v>
      </c>
      <c r="G10" s="47">
        <v>2.7777777777777779E-3</v>
      </c>
      <c r="H10" s="47">
        <v>0</v>
      </c>
      <c r="I10" s="47">
        <v>0</v>
      </c>
      <c r="J10" s="47">
        <v>7.7777777777777779E-2</v>
      </c>
      <c r="K10" s="47"/>
    </row>
    <row r="11" spans="1:11" x14ac:dyDescent="0.25">
      <c r="A11" s="47" t="s">
        <v>64</v>
      </c>
      <c r="B11" s="47">
        <v>2.7777777777777779E-3</v>
      </c>
      <c r="C11" s="47">
        <v>5.5555555555555558E-3</v>
      </c>
      <c r="D11" s="47">
        <v>0</v>
      </c>
      <c r="E11" s="47">
        <v>0</v>
      </c>
      <c r="F11" s="47">
        <v>0</v>
      </c>
      <c r="G11" s="47">
        <v>0</v>
      </c>
      <c r="H11" s="47">
        <v>5.5555555555555558E-3</v>
      </c>
      <c r="I11" s="47">
        <v>2.7777777777777779E-3</v>
      </c>
      <c r="J11" s="47">
        <v>1.6666666666666666E-2</v>
      </c>
      <c r="K11" s="47"/>
    </row>
    <row r="12" spans="1:11" x14ac:dyDescent="0.25">
      <c r="A12" s="47" t="s">
        <v>91</v>
      </c>
      <c r="B12" s="47">
        <v>2.7777777777777779E-3</v>
      </c>
      <c r="C12" s="47">
        <v>7.2222222222222215E-2</v>
      </c>
      <c r="D12" s="47">
        <v>0.19722222222222222</v>
      </c>
      <c r="E12" s="47">
        <v>0.39999999999999997</v>
      </c>
      <c r="F12" s="47">
        <v>0.15555555555555553</v>
      </c>
      <c r="G12" s="47">
        <v>0.10555555555555556</v>
      </c>
      <c r="H12" s="47">
        <v>3.3333333333333333E-2</v>
      </c>
      <c r="I12" s="47">
        <v>3.3333333333333333E-2</v>
      </c>
      <c r="J12" s="47">
        <v>0.99999999999999989</v>
      </c>
      <c r="K12" s="47"/>
    </row>
    <row r="13" spans="1:11" x14ac:dyDescent="0.25">
      <c r="A13" s="47" t="s">
        <v>88</v>
      </c>
      <c r="B13" s="47" t="s">
        <v>64</v>
      </c>
      <c r="C13" s="47" t="s">
        <v>63</v>
      </c>
      <c r="D13" s="47" t="s">
        <v>62</v>
      </c>
      <c r="E13" s="47" t="s">
        <v>60</v>
      </c>
      <c r="F13" s="47" t="s">
        <v>59</v>
      </c>
      <c r="G13" s="47" t="s">
        <v>57</v>
      </c>
      <c r="H13" s="47" t="s">
        <v>89</v>
      </c>
      <c r="I13" s="47" t="s">
        <v>55</v>
      </c>
      <c r="J13" s="47"/>
      <c r="K13" s="47"/>
    </row>
    <row r="15" spans="1:11" x14ac:dyDescent="0.25">
      <c r="A15" s="47" t="s">
        <v>167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7" t="s">
        <v>61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7" t="s">
        <v>55</v>
      </c>
      <c r="B17" s="47">
        <v>0</v>
      </c>
      <c r="C17" s="47">
        <v>1.0273972602739725E-2</v>
      </c>
      <c r="D17" s="47">
        <v>1.7123287671232876E-2</v>
      </c>
      <c r="E17" s="47">
        <v>1.7123287671232876E-2</v>
      </c>
      <c r="F17" s="47">
        <v>1.7123287671232876E-2</v>
      </c>
      <c r="G17" s="47">
        <v>1.0273972602739725E-2</v>
      </c>
      <c r="H17" s="47">
        <v>0</v>
      </c>
      <c r="I17" s="47">
        <v>1.3698630136986301E-2</v>
      </c>
      <c r="J17" s="47">
        <v>8.5616438356164379E-2</v>
      </c>
      <c r="K17" s="47"/>
    </row>
    <row r="18" spans="1:11" x14ac:dyDescent="0.25">
      <c r="A18" s="47" t="s">
        <v>56</v>
      </c>
      <c r="B18" s="47">
        <v>0</v>
      </c>
      <c r="C18" s="47">
        <v>1.3698630136986301E-2</v>
      </c>
      <c r="D18" s="47">
        <v>0</v>
      </c>
      <c r="E18" s="47">
        <v>1.7123287671232876E-2</v>
      </c>
      <c r="F18" s="47">
        <v>1.7123287671232876E-2</v>
      </c>
      <c r="G18" s="47">
        <v>0</v>
      </c>
      <c r="H18" s="47">
        <v>3.4246575342465752E-3</v>
      </c>
      <c r="I18" s="47">
        <v>3.4246575342465752E-3</v>
      </c>
      <c r="J18" s="47">
        <v>5.4794520547945202E-2</v>
      </c>
      <c r="K18" s="47"/>
    </row>
    <row r="19" spans="1:11" x14ac:dyDescent="0.25">
      <c r="A19" s="47" t="s">
        <v>57</v>
      </c>
      <c r="B19" s="47">
        <v>0</v>
      </c>
      <c r="C19" s="47">
        <v>6.8493150684931503E-3</v>
      </c>
      <c r="D19" s="47">
        <v>5.4794520547945202E-2</v>
      </c>
      <c r="E19" s="47">
        <v>6.5068493150684928E-2</v>
      </c>
      <c r="F19" s="47">
        <v>5.1369863013698627E-2</v>
      </c>
      <c r="G19" s="47">
        <v>6.1643835616438353E-2</v>
      </c>
      <c r="H19" s="47">
        <v>1.3698630136986301E-2</v>
      </c>
      <c r="I19" s="47">
        <v>0</v>
      </c>
      <c r="J19" s="47">
        <v>0.25342465753424659</v>
      </c>
      <c r="K19" s="47"/>
    </row>
    <row r="20" spans="1:11" x14ac:dyDescent="0.25">
      <c r="A20" s="47" t="s">
        <v>59</v>
      </c>
      <c r="B20" s="47">
        <v>3.4246575342465752E-3</v>
      </c>
      <c r="C20" s="47">
        <v>3.4246575342465752E-3</v>
      </c>
      <c r="D20" s="47">
        <v>3.4246575342465752E-2</v>
      </c>
      <c r="E20" s="47">
        <v>6.8493150684931503E-2</v>
      </c>
      <c r="F20" s="47">
        <v>2.7397260273972601E-2</v>
      </c>
      <c r="G20" s="47">
        <v>2.3972602739726026E-2</v>
      </c>
      <c r="H20" s="47">
        <v>0</v>
      </c>
      <c r="I20" s="47">
        <v>0</v>
      </c>
      <c r="J20" s="47">
        <v>0.16095890410958902</v>
      </c>
      <c r="K20" s="47"/>
    </row>
    <row r="21" spans="1:11" x14ac:dyDescent="0.25">
      <c r="A21" s="47" t="s">
        <v>60</v>
      </c>
      <c r="B21" s="47">
        <v>3.4246575342465752E-3</v>
      </c>
      <c r="C21" s="47">
        <v>3.4246575342465752E-3</v>
      </c>
      <c r="D21" s="47">
        <v>6.1643835616438353E-2</v>
      </c>
      <c r="E21" s="47">
        <v>0.11301369863013698</v>
      </c>
      <c r="F21" s="47">
        <v>2.7397260273972601E-2</v>
      </c>
      <c r="G21" s="47">
        <v>4.4520547945205477E-2</v>
      </c>
      <c r="H21" s="47">
        <v>3.4246575342465752E-3</v>
      </c>
      <c r="I21" s="47">
        <v>0</v>
      </c>
      <c r="J21" s="47">
        <v>0.25684931506849318</v>
      </c>
      <c r="K21" s="47"/>
    </row>
    <row r="22" spans="1:11" x14ac:dyDescent="0.25">
      <c r="A22" s="47" t="s">
        <v>62</v>
      </c>
      <c r="B22" s="47">
        <v>0</v>
      </c>
      <c r="C22" s="47">
        <v>6.8493150684931503E-3</v>
      </c>
      <c r="D22" s="47">
        <v>3.7671232876712327E-2</v>
      </c>
      <c r="E22" s="47">
        <v>2.3972602739726026E-2</v>
      </c>
      <c r="F22" s="47">
        <v>6.8493150684931503E-3</v>
      </c>
      <c r="G22" s="47">
        <v>3.7671232876712327E-2</v>
      </c>
      <c r="H22" s="47">
        <v>6.8493150684931503E-3</v>
      </c>
      <c r="I22" s="47">
        <v>3.4246575342465752E-3</v>
      </c>
      <c r="J22" s="47">
        <v>0.12328767123287671</v>
      </c>
      <c r="K22" s="47"/>
    </row>
    <row r="23" spans="1:11" x14ac:dyDescent="0.25">
      <c r="A23" s="47" t="s">
        <v>63</v>
      </c>
      <c r="B23" s="47">
        <v>3.4246575342465752E-3</v>
      </c>
      <c r="C23" s="47">
        <v>3.4246575342465752E-3</v>
      </c>
      <c r="D23" s="47">
        <v>1.0273972602739725E-2</v>
      </c>
      <c r="E23" s="47">
        <v>1.0273972602739725E-2</v>
      </c>
      <c r="F23" s="47">
        <v>3.4246575342465752E-3</v>
      </c>
      <c r="G23" s="47">
        <v>1.3698630136986301E-2</v>
      </c>
      <c r="H23" s="47">
        <v>0</v>
      </c>
      <c r="I23" s="47">
        <v>3.4246575342465752E-3</v>
      </c>
      <c r="J23" s="47">
        <v>4.7945205479452052E-2</v>
      </c>
      <c r="K23" s="47"/>
    </row>
    <row r="24" spans="1:11" x14ac:dyDescent="0.25">
      <c r="A24" s="47" t="s">
        <v>64</v>
      </c>
      <c r="B24" s="47">
        <v>0</v>
      </c>
      <c r="C24" s="47">
        <v>0</v>
      </c>
      <c r="D24" s="47">
        <v>0</v>
      </c>
      <c r="E24" s="47">
        <v>6.8493150684931503E-3</v>
      </c>
      <c r="F24" s="47">
        <v>3.4246575342465752E-3</v>
      </c>
      <c r="G24" s="47">
        <v>0</v>
      </c>
      <c r="H24" s="47">
        <v>0</v>
      </c>
      <c r="I24" s="47">
        <v>6.8493150684931503E-3</v>
      </c>
      <c r="J24" s="47">
        <v>1.7123287671232876E-2</v>
      </c>
      <c r="K24" s="47"/>
    </row>
    <row r="25" spans="1:11" x14ac:dyDescent="0.25">
      <c r="A25" s="47" t="s">
        <v>91</v>
      </c>
      <c r="B25" s="47">
        <v>1.0273972602739725E-2</v>
      </c>
      <c r="C25" s="47">
        <v>4.7945205479452052E-2</v>
      </c>
      <c r="D25" s="47">
        <v>0.21575342465753422</v>
      </c>
      <c r="E25" s="47">
        <v>0.32191780821917804</v>
      </c>
      <c r="F25" s="47">
        <v>0.1541095890410959</v>
      </c>
      <c r="G25" s="47">
        <v>0.19178082191780821</v>
      </c>
      <c r="H25" s="47">
        <v>2.7397260273972601E-2</v>
      </c>
      <c r="I25" s="47">
        <v>3.0821917808219176E-2</v>
      </c>
      <c r="J25" s="47">
        <v>1</v>
      </c>
      <c r="K25" s="47"/>
    </row>
    <row r="26" spans="1:11" x14ac:dyDescent="0.25">
      <c r="A26" s="47" t="s">
        <v>88</v>
      </c>
      <c r="B26" s="47" t="s">
        <v>64</v>
      </c>
      <c r="C26" s="47" t="s">
        <v>63</v>
      </c>
      <c r="D26" s="47" t="s">
        <v>62</v>
      </c>
      <c r="E26" s="47" t="s">
        <v>60</v>
      </c>
      <c r="F26" s="47" t="s">
        <v>59</v>
      </c>
      <c r="G26" s="47" t="s">
        <v>57</v>
      </c>
      <c r="H26" s="47" t="s">
        <v>89</v>
      </c>
      <c r="I26" s="47" t="s">
        <v>55</v>
      </c>
      <c r="J26" s="47"/>
      <c r="K26" s="47"/>
    </row>
    <row r="27" spans="1:11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47" t="s">
        <v>261</v>
      </c>
    </row>
    <row r="29" spans="1:11" x14ac:dyDescent="0.25">
      <c r="A29" s="47" t="s">
        <v>55</v>
      </c>
      <c r="B29" s="47">
        <f>(B4+B17)/2</f>
        <v>0</v>
      </c>
      <c r="C29" s="47">
        <f t="shared" ref="C29:J29" si="0">(C4+C17)/2</f>
        <v>7.914764079147641E-3</v>
      </c>
      <c r="D29" s="47">
        <f t="shared" si="0"/>
        <v>1.6894977168949769E-2</v>
      </c>
      <c r="E29" s="47">
        <f t="shared" si="0"/>
        <v>1.4117199391171995E-2</v>
      </c>
      <c r="F29" s="47">
        <f t="shared" si="0"/>
        <v>8.5616438356164379E-3</v>
      </c>
      <c r="G29" s="47">
        <f t="shared" si="0"/>
        <v>9.3036529680365285E-3</v>
      </c>
      <c r="H29" s="47">
        <f t="shared" si="0"/>
        <v>2.7777777777777779E-3</v>
      </c>
      <c r="I29" s="47">
        <f t="shared" si="0"/>
        <v>1.7960426179604264E-2</v>
      </c>
      <c r="J29" s="47">
        <f t="shared" si="0"/>
        <v>7.7530441400304406E-2</v>
      </c>
    </row>
    <row r="30" spans="1:11" x14ac:dyDescent="0.25">
      <c r="A30" s="47" t="s">
        <v>56</v>
      </c>
      <c r="B30" s="47">
        <f t="shared" ref="B30:J37" si="1">(B5+B18)/2</f>
        <v>0</v>
      </c>
      <c r="C30" s="47">
        <f t="shared" si="1"/>
        <v>9.6270928462709286E-3</v>
      </c>
      <c r="D30" s="47">
        <f t="shared" si="1"/>
        <v>4.1666666666666666E-3</v>
      </c>
      <c r="E30" s="47">
        <f t="shared" si="1"/>
        <v>1.1339421613394216E-2</v>
      </c>
      <c r="F30" s="47">
        <f t="shared" si="1"/>
        <v>9.950532724505327E-3</v>
      </c>
      <c r="G30" s="47">
        <f t="shared" si="1"/>
        <v>4.1666666666666666E-3</v>
      </c>
      <c r="H30" s="47">
        <f t="shared" si="1"/>
        <v>4.4901065449010659E-3</v>
      </c>
      <c r="I30" s="47">
        <f t="shared" si="1"/>
        <v>3.1012176560121767E-3</v>
      </c>
      <c r="J30" s="47">
        <f t="shared" si="1"/>
        <v>4.6841704718417046E-2</v>
      </c>
    </row>
    <row r="31" spans="1:11" x14ac:dyDescent="0.25">
      <c r="A31" s="47" t="s">
        <v>57</v>
      </c>
      <c r="B31" s="47">
        <f t="shared" si="1"/>
        <v>0</v>
      </c>
      <c r="C31" s="47">
        <f t="shared" si="1"/>
        <v>3.4246575342465752E-3</v>
      </c>
      <c r="D31" s="47">
        <f t="shared" si="1"/>
        <v>4.267503805175038E-2</v>
      </c>
      <c r="E31" s="47">
        <f t="shared" si="1"/>
        <v>6.3089802130898015E-2</v>
      </c>
      <c r="F31" s="47">
        <f t="shared" si="1"/>
        <v>5.7629375951293756E-2</v>
      </c>
      <c r="G31" s="47">
        <f t="shared" si="1"/>
        <v>5.1655251141552505E-2</v>
      </c>
      <c r="H31" s="47">
        <f t="shared" si="1"/>
        <v>6.8493150684931503E-3</v>
      </c>
      <c r="I31" s="47">
        <f t="shared" si="1"/>
        <v>0</v>
      </c>
      <c r="J31" s="47">
        <f t="shared" si="1"/>
        <v>0.22532343987823439</v>
      </c>
    </row>
    <row r="32" spans="1:11" x14ac:dyDescent="0.25">
      <c r="A32" s="47" t="s">
        <v>59</v>
      </c>
      <c r="B32" s="47">
        <f t="shared" si="1"/>
        <v>1.7123287671232876E-3</v>
      </c>
      <c r="C32" s="47">
        <f t="shared" si="1"/>
        <v>3.1012176560121767E-3</v>
      </c>
      <c r="D32" s="47">
        <f t="shared" si="1"/>
        <v>2.5456621004566207E-2</v>
      </c>
      <c r="E32" s="47">
        <f t="shared" si="1"/>
        <v>8.841324200913242E-2</v>
      </c>
      <c r="F32" s="47">
        <f t="shared" si="1"/>
        <v>4.0087519025875193E-2</v>
      </c>
      <c r="G32" s="47">
        <f t="shared" si="1"/>
        <v>2.5875190258751901E-2</v>
      </c>
      <c r="H32" s="47">
        <f t="shared" si="1"/>
        <v>2.7777777777777779E-3</v>
      </c>
      <c r="I32" s="47">
        <f t="shared" si="1"/>
        <v>0</v>
      </c>
      <c r="J32" s="47">
        <f t="shared" si="1"/>
        <v>0.18742389649923896</v>
      </c>
    </row>
    <row r="33" spans="1:10" x14ac:dyDescent="0.25">
      <c r="A33" s="47" t="s">
        <v>60</v>
      </c>
      <c r="B33" s="47">
        <f t="shared" si="1"/>
        <v>1.7123287671232876E-3</v>
      </c>
      <c r="C33" s="47">
        <f t="shared" si="1"/>
        <v>8.6567732115677316E-3</v>
      </c>
      <c r="D33" s="47">
        <f t="shared" si="1"/>
        <v>5.8599695585996953E-2</v>
      </c>
      <c r="E33" s="47">
        <f t="shared" si="1"/>
        <v>0.13845129375951293</v>
      </c>
      <c r="F33" s="47">
        <f t="shared" si="1"/>
        <v>3.0365296803652967E-2</v>
      </c>
      <c r="G33" s="47">
        <f t="shared" si="1"/>
        <v>2.6426940639269404E-2</v>
      </c>
      <c r="H33" s="47">
        <f t="shared" si="1"/>
        <v>7.2678843226788433E-3</v>
      </c>
      <c r="I33" s="47">
        <f t="shared" si="1"/>
        <v>2.7777777777777779E-3</v>
      </c>
      <c r="J33" s="47">
        <f t="shared" si="1"/>
        <v>0.27425799086757996</v>
      </c>
    </row>
    <row r="34" spans="1:10" x14ac:dyDescent="0.25">
      <c r="A34" s="47" t="s">
        <v>62</v>
      </c>
      <c r="B34" s="47">
        <f t="shared" si="1"/>
        <v>0</v>
      </c>
      <c r="C34" s="47">
        <f t="shared" si="1"/>
        <v>6.2024353120243535E-3</v>
      </c>
      <c r="D34" s="47">
        <f t="shared" si="1"/>
        <v>4.2446727549467274E-2</v>
      </c>
      <c r="E34" s="47">
        <f t="shared" si="1"/>
        <v>2.7264079147640792E-2</v>
      </c>
      <c r="F34" s="47">
        <f t="shared" si="1"/>
        <v>4.8135464231354643E-3</v>
      </c>
      <c r="G34" s="47">
        <f t="shared" si="1"/>
        <v>2.3002283105022829E-2</v>
      </c>
      <c r="H34" s="47">
        <f t="shared" si="1"/>
        <v>3.4246575342465752E-3</v>
      </c>
      <c r="I34" s="47">
        <f t="shared" si="1"/>
        <v>1.7123287671232876E-3</v>
      </c>
      <c r="J34" s="47">
        <f t="shared" si="1"/>
        <v>0.10886605783866057</v>
      </c>
    </row>
    <row r="35" spans="1:10" x14ac:dyDescent="0.25">
      <c r="A35" s="47" t="s">
        <v>63</v>
      </c>
      <c r="B35" s="47">
        <f t="shared" si="1"/>
        <v>1.7123287671232876E-3</v>
      </c>
      <c r="C35" s="47">
        <f t="shared" si="1"/>
        <v>1.8378995433789954E-2</v>
      </c>
      <c r="D35" s="47">
        <f t="shared" si="1"/>
        <v>1.6248097412480976E-2</v>
      </c>
      <c r="E35" s="47">
        <f t="shared" si="1"/>
        <v>1.4859208523592085E-2</v>
      </c>
      <c r="F35" s="47">
        <f t="shared" si="1"/>
        <v>1.7123287671232876E-3</v>
      </c>
      <c r="G35" s="47">
        <f t="shared" si="1"/>
        <v>8.2382039573820395E-3</v>
      </c>
      <c r="H35" s="47">
        <f t="shared" si="1"/>
        <v>0</v>
      </c>
      <c r="I35" s="47">
        <f t="shared" si="1"/>
        <v>1.7123287671232876E-3</v>
      </c>
      <c r="J35" s="47">
        <f t="shared" si="1"/>
        <v>6.2861491628614916E-2</v>
      </c>
    </row>
    <row r="36" spans="1:10" x14ac:dyDescent="0.25">
      <c r="A36" s="47" t="s">
        <v>64</v>
      </c>
      <c r="B36" s="47">
        <f t="shared" si="1"/>
        <v>1.3888888888888889E-3</v>
      </c>
      <c r="C36" s="47">
        <f t="shared" si="1"/>
        <v>2.7777777777777779E-3</v>
      </c>
      <c r="D36" s="47">
        <f t="shared" si="1"/>
        <v>0</v>
      </c>
      <c r="E36" s="47">
        <f t="shared" si="1"/>
        <v>3.4246575342465752E-3</v>
      </c>
      <c r="F36" s="47">
        <f t="shared" si="1"/>
        <v>1.7123287671232876E-3</v>
      </c>
      <c r="G36" s="47">
        <f t="shared" si="1"/>
        <v>0</v>
      </c>
      <c r="H36" s="47">
        <f t="shared" si="1"/>
        <v>2.7777777777777779E-3</v>
      </c>
      <c r="I36" s="47">
        <f t="shared" si="1"/>
        <v>4.8135464231354643E-3</v>
      </c>
      <c r="J36" s="47">
        <f t="shared" si="1"/>
        <v>1.6894977168949769E-2</v>
      </c>
    </row>
    <row r="37" spans="1:10" x14ac:dyDescent="0.25">
      <c r="A37" s="47" t="s">
        <v>91</v>
      </c>
      <c r="B37" s="47">
        <f t="shared" si="1"/>
        <v>6.5258751902587519E-3</v>
      </c>
      <c r="C37" s="47">
        <f t="shared" si="1"/>
        <v>6.0083713850837134E-2</v>
      </c>
      <c r="D37" s="47">
        <f t="shared" si="1"/>
        <v>0.2064878234398782</v>
      </c>
      <c r="E37" s="47">
        <f t="shared" si="1"/>
        <v>0.36095890410958897</v>
      </c>
      <c r="F37" s="47">
        <f t="shared" si="1"/>
        <v>0.1548325722983257</v>
      </c>
      <c r="G37" s="47">
        <f t="shared" si="1"/>
        <v>0.14866818873668189</v>
      </c>
      <c r="H37" s="47">
        <f t="shared" si="1"/>
        <v>3.0365296803652967E-2</v>
      </c>
      <c r="I37" s="47">
        <f t="shared" si="1"/>
        <v>3.2077625570776258E-2</v>
      </c>
      <c r="J37" s="47">
        <f t="shared" si="1"/>
        <v>1</v>
      </c>
    </row>
    <row r="38" spans="1:10" x14ac:dyDescent="0.25">
      <c r="A38" s="47" t="s">
        <v>88</v>
      </c>
      <c r="B38" s="47" t="s">
        <v>64</v>
      </c>
      <c r="C38" s="47" t="s">
        <v>63</v>
      </c>
      <c r="D38" s="47" t="s">
        <v>62</v>
      </c>
      <c r="E38" s="47" t="s">
        <v>60</v>
      </c>
      <c r="F38" s="47" t="s">
        <v>59</v>
      </c>
      <c r="G38" s="47" t="s">
        <v>57</v>
      </c>
      <c r="H38" s="47" t="s">
        <v>89</v>
      </c>
      <c r="I38" s="47" t="s">
        <v>55</v>
      </c>
      <c r="J38" s="4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1"/>
  <sheetViews>
    <sheetView topLeftCell="A3" workbookViewId="0">
      <selection activeCell="A27" sqref="A27"/>
    </sheetView>
  </sheetViews>
  <sheetFormatPr defaultColWidth="8.7109375" defaultRowHeight="15" x14ac:dyDescent="0.25"/>
  <cols>
    <col min="1" max="1" width="15" customWidth="1"/>
    <col min="2" max="2" width="13" customWidth="1"/>
    <col min="3" max="3" width="12.7109375" customWidth="1"/>
    <col min="4" max="4" width="12.85546875" customWidth="1"/>
    <col min="5" max="5" width="12.5703125" customWidth="1"/>
    <col min="6" max="6" width="12" customWidth="1"/>
    <col min="7" max="7" width="12.7109375" customWidth="1"/>
    <col min="8" max="8" width="10.5703125" customWidth="1"/>
    <col min="9" max="9" width="11.140625" customWidth="1"/>
  </cols>
  <sheetData>
    <row r="1" spans="1:30" x14ac:dyDescent="0.25">
      <c r="A1" s="1" t="s">
        <v>277</v>
      </c>
      <c r="J1" s="4" t="s">
        <v>58</v>
      </c>
      <c r="K1" s="4" t="s">
        <v>90</v>
      </c>
      <c r="M1" s="7"/>
      <c r="N1" s="7"/>
      <c r="O1" s="7"/>
      <c r="P1" s="7"/>
      <c r="Q1" s="7"/>
      <c r="R1" s="7"/>
      <c r="S1" s="7"/>
      <c r="T1" s="7"/>
      <c r="U1" s="7"/>
      <c r="V1" s="7"/>
    </row>
    <row r="2" spans="1:30" x14ac:dyDescent="0.25">
      <c r="A2" s="1" t="s">
        <v>61</v>
      </c>
      <c r="J2" s="4"/>
      <c r="K2" s="4"/>
      <c r="M2" s="7"/>
      <c r="N2" s="7"/>
      <c r="O2" s="7"/>
      <c r="P2" s="7"/>
      <c r="Q2" s="7"/>
      <c r="R2" s="7"/>
      <c r="S2" s="7"/>
      <c r="T2" s="7"/>
      <c r="U2" s="7"/>
      <c r="V2" s="7"/>
    </row>
    <row r="3" spans="1:30" x14ac:dyDescent="0.25">
      <c r="A3" s="2" t="s">
        <v>55</v>
      </c>
      <c r="B3">
        <v>1</v>
      </c>
      <c r="C3">
        <v>3</v>
      </c>
      <c r="D3">
        <v>2</v>
      </c>
      <c r="E3">
        <v>7</v>
      </c>
      <c r="F3">
        <v>7</v>
      </c>
      <c r="G3">
        <v>1</v>
      </c>
      <c r="H3">
        <v>2</v>
      </c>
      <c r="I3">
        <v>3</v>
      </c>
      <c r="J3" s="4">
        <f>SUM(B3:I3)</f>
        <v>26</v>
      </c>
      <c r="K3" s="12">
        <f>J3/J$11</f>
        <v>8.9041095890410954E-2</v>
      </c>
      <c r="M3" s="7"/>
      <c r="N3" s="7"/>
      <c r="O3" s="7"/>
      <c r="P3" s="7"/>
      <c r="Q3" s="7"/>
      <c r="R3" s="7"/>
      <c r="S3" s="7"/>
      <c r="T3" s="7"/>
      <c r="U3" s="7"/>
      <c r="V3" s="7"/>
    </row>
    <row r="4" spans="1:30" x14ac:dyDescent="0.25">
      <c r="A4" s="3" t="s">
        <v>56</v>
      </c>
      <c r="B4">
        <v>0</v>
      </c>
      <c r="C4">
        <v>2</v>
      </c>
      <c r="D4">
        <v>5</v>
      </c>
      <c r="E4">
        <v>10</v>
      </c>
      <c r="F4">
        <v>2</v>
      </c>
      <c r="G4">
        <v>1</v>
      </c>
      <c r="H4">
        <v>2</v>
      </c>
      <c r="I4">
        <v>1</v>
      </c>
      <c r="J4" s="4">
        <f t="shared" ref="J4:J10" si="0">SUM(B4:I4)</f>
        <v>23</v>
      </c>
      <c r="K4" s="12">
        <f t="shared" ref="K4:K10" si="1">J4/J$11</f>
        <v>7.8767123287671229E-2</v>
      </c>
      <c r="M4" s="7"/>
      <c r="N4" s="7"/>
      <c r="O4" s="7"/>
      <c r="P4" s="7"/>
      <c r="Q4" s="7"/>
      <c r="R4" s="7"/>
      <c r="S4" s="7"/>
      <c r="T4" s="7"/>
      <c r="U4" s="7"/>
      <c r="V4" s="7"/>
    </row>
    <row r="5" spans="1:30" x14ac:dyDescent="0.25">
      <c r="A5" t="s">
        <v>57</v>
      </c>
      <c r="B5">
        <v>0</v>
      </c>
      <c r="C5">
        <v>0</v>
      </c>
      <c r="D5">
        <v>8</v>
      </c>
      <c r="E5">
        <v>17</v>
      </c>
      <c r="F5">
        <v>2</v>
      </c>
      <c r="G5">
        <v>7</v>
      </c>
      <c r="H5">
        <v>2</v>
      </c>
      <c r="I5">
        <v>2</v>
      </c>
      <c r="J5" s="4">
        <f t="shared" si="0"/>
        <v>38</v>
      </c>
      <c r="K5" s="12">
        <f t="shared" si="1"/>
        <v>0.13013698630136986</v>
      </c>
      <c r="M5" s="7"/>
      <c r="N5" s="7"/>
      <c r="O5" s="7"/>
      <c r="P5" s="7"/>
      <c r="Q5" s="7"/>
      <c r="R5" s="7"/>
      <c r="S5" s="7"/>
      <c r="T5" s="7"/>
      <c r="U5" s="7"/>
      <c r="V5" s="7"/>
    </row>
    <row r="6" spans="1:30" x14ac:dyDescent="0.25">
      <c r="A6" t="s">
        <v>59</v>
      </c>
      <c r="B6">
        <v>0</v>
      </c>
      <c r="C6">
        <v>3</v>
      </c>
      <c r="D6">
        <v>13</v>
      </c>
      <c r="E6">
        <v>15</v>
      </c>
      <c r="F6">
        <v>17</v>
      </c>
      <c r="G6">
        <v>3</v>
      </c>
      <c r="H6">
        <v>2</v>
      </c>
      <c r="I6">
        <v>0</v>
      </c>
      <c r="J6" s="4">
        <f t="shared" si="0"/>
        <v>53</v>
      </c>
      <c r="K6" s="12">
        <f t="shared" si="1"/>
        <v>0.1815068493150685</v>
      </c>
      <c r="M6" s="7"/>
      <c r="N6" s="7"/>
      <c r="O6" s="7"/>
      <c r="P6" s="7"/>
      <c r="Q6" s="7"/>
      <c r="R6" s="7"/>
      <c r="S6" s="7"/>
      <c r="T6" s="7"/>
      <c r="U6" s="7"/>
      <c r="V6" s="7"/>
    </row>
    <row r="7" spans="1:30" x14ac:dyDescent="0.25">
      <c r="A7" t="s">
        <v>60</v>
      </c>
      <c r="B7">
        <v>1</v>
      </c>
      <c r="C7">
        <v>2</v>
      </c>
      <c r="D7">
        <v>17</v>
      </c>
      <c r="E7">
        <v>52</v>
      </c>
      <c r="F7">
        <v>10</v>
      </c>
      <c r="G7">
        <v>4</v>
      </c>
      <c r="H7">
        <v>1</v>
      </c>
      <c r="I7">
        <v>1</v>
      </c>
      <c r="J7" s="4">
        <f t="shared" si="0"/>
        <v>88</v>
      </c>
      <c r="K7" s="12">
        <f t="shared" si="1"/>
        <v>0.30136986301369861</v>
      </c>
      <c r="M7" s="7"/>
      <c r="N7" s="7"/>
      <c r="O7" s="7"/>
      <c r="P7" s="7"/>
      <c r="Q7" s="7"/>
      <c r="R7" s="7"/>
      <c r="S7" s="7"/>
      <c r="T7" s="7"/>
      <c r="U7" s="7"/>
      <c r="V7" s="7"/>
    </row>
    <row r="8" spans="1:30" x14ac:dyDescent="0.25">
      <c r="A8" t="s">
        <v>62</v>
      </c>
      <c r="B8">
        <v>0</v>
      </c>
      <c r="C8">
        <v>2</v>
      </c>
      <c r="D8">
        <v>17</v>
      </c>
      <c r="E8">
        <v>15</v>
      </c>
      <c r="F8">
        <v>4</v>
      </c>
      <c r="G8">
        <v>1</v>
      </c>
      <c r="H8">
        <v>1</v>
      </c>
      <c r="I8">
        <v>0</v>
      </c>
      <c r="J8" s="4">
        <f t="shared" si="0"/>
        <v>40</v>
      </c>
      <c r="K8" s="12">
        <f t="shared" si="1"/>
        <v>0.13698630136986301</v>
      </c>
      <c r="M8" s="7"/>
      <c r="N8" s="7"/>
      <c r="O8" s="7"/>
      <c r="P8" s="7"/>
      <c r="Q8" s="7"/>
      <c r="R8" s="7"/>
      <c r="S8" s="7"/>
      <c r="T8" s="7"/>
      <c r="U8" s="7"/>
      <c r="V8" s="7"/>
    </row>
    <row r="9" spans="1:30" x14ac:dyDescent="0.25">
      <c r="A9" t="s">
        <v>63</v>
      </c>
      <c r="B9">
        <v>1</v>
      </c>
      <c r="C9">
        <v>6</v>
      </c>
      <c r="D9">
        <v>5</v>
      </c>
      <c r="E9">
        <v>4</v>
      </c>
      <c r="F9">
        <v>1</v>
      </c>
      <c r="G9">
        <v>0</v>
      </c>
      <c r="H9">
        <v>0</v>
      </c>
      <c r="I9">
        <v>0</v>
      </c>
      <c r="J9" s="4">
        <f t="shared" si="0"/>
        <v>17</v>
      </c>
      <c r="K9" s="12">
        <f t="shared" si="1"/>
        <v>5.8219178082191778E-2</v>
      </c>
      <c r="M9" s="7"/>
      <c r="N9" s="7"/>
      <c r="O9" s="7"/>
      <c r="P9" s="7"/>
      <c r="Q9" s="7"/>
      <c r="R9" s="7"/>
      <c r="S9" s="7"/>
      <c r="T9" s="7"/>
      <c r="U9" s="7"/>
      <c r="V9" s="7"/>
    </row>
    <row r="10" spans="1:30" x14ac:dyDescent="0.25">
      <c r="A10" t="s">
        <v>64</v>
      </c>
      <c r="B10">
        <v>4</v>
      </c>
      <c r="C10">
        <v>0</v>
      </c>
      <c r="D10">
        <v>2</v>
      </c>
      <c r="E10">
        <v>1</v>
      </c>
      <c r="F10">
        <v>0</v>
      </c>
      <c r="G10">
        <v>0</v>
      </c>
      <c r="H10">
        <v>0</v>
      </c>
      <c r="I10">
        <v>0</v>
      </c>
      <c r="J10" s="4">
        <f t="shared" si="0"/>
        <v>7</v>
      </c>
      <c r="K10" s="12">
        <f t="shared" si="1"/>
        <v>2.3972602739726026E-2</v>
      </c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30" x14ac:dyDescent="0.25">
      <c r="A11" s="5" t="s">
        <v>65</v>
      </c>
      <c r="B11" s="6">
        <f>SUM(B3:B10)</f>
        <v>7</v>
      </c>
      <c r="C11" s="6">
        <f t="shared" ref="C11:I11" si="2">SUM(C3:C10)</f>
        <v>18</v>
      </c>
      <c r="D11" s="6">
        <f t="shared" si="2"/>
        <v>69</v>
      </c>
      <c r="E11" s="6">
        <f t="shared" si="2"/>
        <v>121</v>
      </c>
      <c r="F11" s="6">
        <f t="shared" si="2"/>
        <v>43</v>
      </c>
      <c r="G11" s="6">
        <f t="shared" si="2"/>
        <v>17</v>
      </c>
      <c r="H11" s="6">
        <f t="shared" si="2"/>
        <v>10</v>
      </c>
      <c r="I11" s="6">
        <f t="shared" si="2"/>
        <v>7</v>
      </c>
      <c r="J11" s="4">
        <f>SUM(J3:J10)</f>
        <v>292</v>
      </c>
      <c r="K11" s="4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30" x14ac:dyDescent="0.25">
      <c r="A12" s="5" t="s">
        <v>91</v>
      </c>
      <c r="B12" s="13">
        <f>B11/$J$11</f>
        <v>2.3972602739726026E-2</v>
      </c>
      <c r="C12" s="13">
        <f t="shared" ref="C12:I12" si="3">C11/$J$11</f>
        <v>6.1643835616438353E-2</v>
      </c>
      <c r="D12" s="13">
        <f t="shared" si="3"/>
        <v>0.2363013698630137</v>
      </c>
      <c r="E12" s="13">
        <f t="shared" si="3"/>
        <v>0.41438356164383561</v>
      </c>
      <c r="F12" s="13">
        <f t="shared" si="3"/>
        <v>0.14726027397260275</v>
      </c>
      <c r="G12" s="13">
        <f t="shared" si="3"/>
        <v>5.8219178082191778E-2</v>
      </c>
      <c r="H12" s="13">
        <f t="shared" si="3"/>
        <v>3.4246575342465752E-2</v>
      </c>
      <c r="I12" s="13">
        <f t="shared" si="3"/>
        <v>2.3972602739726026E-2</v>
      </c>
      <c r="J12" s="19">
        <f>SUM(B12:I12)</f>
        <v>1</v>
      </c>
      <c r="K12" s="4"/>
      <c r="L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30" x14ac:dyDescent="0.25">
      <c r="A13" s="5" t="s">
        <v>88</v>
      </c>
      <c r="B13" s="6" t="s">
        <v>64</v>
      </c>
      <c r="C13" s="6" t="s">
        <v>63</v>
      </c>
      <c r="D13" s="6" t="s">
        <v>62</v>
      </c>
      <c r="E13" s="6" t="s">
        <v>60</v>
      </c>
      <c r="F13" s="6" t="s">
        <v>59</v>
      </c>
      <c r="G13" s="6" t="s">
        <v>57</v>
      </c>
      <c r="H13" s="6" t="s">
        <v>89</v>
      </c>
      <c r="I13" s="6" t="s">
        <v>55</v>
      </c>
      <c r="J13" s="4"/>
      <c r="K13" s="4"/>
      <c r="L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30" x14ac:dyDescent="0.25">
      <c r="A14" s="8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30" x14ac:dyDescent="0.25">
      <c r="A15" s="1" t="s">
        <v>61</v>
      </c>
      <c r="J15" s="4"/>
      <c r="K15" s="4"/>
      <c r="L15" s="7"/>
      <c r="M15" s="8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30" x14ac:dyDescent="0.25">
      <c r="A16" s="2" t="s">
        <v>55</v>
      </c>
      <c r="B16" s="28">
        <f t="shared" ref="B16:I23" si="4">B3/$J$11</f>
        <v>3.4246575342465752E-3</v>
      </c>
      <c r="C16" s="20">
        <f t="shared" si="4"/>
        <v>1.0273972602739725E-2</v>
      </c>
      <c r="D16" s="20">
        <f t="shared" si="4"/>
        <v>6.8493150684931503E-3</v>
      </c>
      <c r="E16" s="20">
        <f t="shared" si="4"/>
        <v>2.3972602739726026E-2</v>
      </c>
      <c r="F16" s="20">
        <f t="shared" si="4"/>
        <v>2.3972602739726026E-2</v>
      </c>
      <c r="G16" s="20">
        <f t="shared" si="4"/>
        <v>3.4246575342465752E-3</v>
      </c>
      <c r="H16" s="20">
        <f t="shared" si="4"/>
        <v>6.8493150684931503E-3</v>
      </c>
      <c r="I16" s="20">
        <f t="shared" si="4"/>
        <v>1.0273972602739725E-2</v>
      </c>
      <c r="J16" s="12">
        <f>SUM(B16:I16)</f>
        <v>8.9041095890410954E-2</v>
      </c>
      <c r="K16" s="12"/>
      <c r="L16" s="7"/>
      <c r="M16" s="87"/>
      <c r="N16" s="89"/>
      <c r="O16" s="89"/>
      <c r="P16" s="89"/>
      <c r="Q16" s="89"/>
      <c r="R16" s="89"/>
      <c r="S16" s="89"/>
      <c r="T16" s="89"/>
      <c r="U16" s="89"/>
      <c r="V16" s="14"/>
      <c r="W16" s="7"/>
      <c r="X16" s="41"/>
      <c r="AD16" s="41"/>
    </row>
    <row r="17" spans="1:39" x14ac:dyDescent="0.25">
      <c r="A17" s="3" t="s">
        <v>56</v>
      </c>
      <c r="B17" s="20">
        <f t="shared" si="4"/>
        <v>0</v>
      </c>
      <c r="C17" s="20">
        <f t="shared" si="4"/>
        <v>6.8493150684931503E-3</v>
      </c>
      <c r="D17" s="20">
        <f t="shared" si="4"/>
        <v>1.7123287671232876E-2</v>
      </c>
      <c r="E17" s="20">
        <f t="shared" si="4"/>
        <v>3.4246575342465752E-2</v>
      </c>
      <c r="F17" s="20">
        <f t="shared" si="4"/>
        <v>6.8493150684931503E-3</v>
      </c>
      <c r="G17" s="20">
        <f t="shared" si="4"/>
        <v>3.4246575342465752E-3</v>
      </c>
      <c r="H17" s="20">
        <f t="shared" si="4"/>
        <v>6.8493150684931503E-3</v>
      </c>
      <c r="I17" s="20">
        <f t="shared" si="4"/>
        <v>3.4246575342465752E-3</v>
      </c>
      <c r="J17" s="12">
        <f t="shared" ref="J17:J23" si="5">SUM(B17:I17)</f>
        <v>7.8767123287671229E-2</v>
      </c>
      <c r="K17" s="12"/>
      <c r="L17" s="7"/>
      <c r="M17" s="88"/>
      <c r="N17" s="89"/>
      <c r="O17" s="89"/>
      <c r="P17" s="89"/>
      <c r="Q17" s="89"/>
      <c r="R17" s="89"/>
      <c r="S17" s="89"/>
      <c r="T17" s="89"/>
      <c r="U17" s="89"/>
      <c r="V17" s="14"/>
      <c r="W17" s="7"/>
      <c r="Y17" s="35"/>
      <c r="Z17" s="35"/>
      <c r="AA17" s="35"/>
      <c r="AE17" s="35"/>
      <c r="AF17" s="35"/>
      <c r="AG17" s="35"/>
    </row>
    <row r="18" spans="1:39" x14ac:dyDescent="0.25">
      <c r="A18" t="s">
        <v>57</v>
      </c>
      <c r="B18" s="20">
        <f t="shared" si="4"/>
        <v>0</v>
      </c>
      <c r="C18" s="20">
        <f t="shared" si="4"/>
        <v>0</v>
      </c>
      <c r="D18" s="20">
        <f t="shared" si="4"/>
        <v>2.7397260273972601E-2</v>
      </c>
      <c r="E18" s="20">
        <f t="shared" si="4"/>
        <v>5.8219178082191778E-2</v>
      </c>
      <c r="F18" s="20">
        <f t="shared" si="4"/>
        <v>6.8493150684931503E-3</v>
      </c>
      <c r="G18" s="20">
        <f t="shared" si="4"/>
        <v>2.3972602739726026E-2</v>
      </c>
      <c r="H18" s="20">
        <f t="shared" si="4"/>
        <v>6.8493150684931503E-3</v>
      </c>
      <c r="I18" s="20">
        <f t="shared" si="4"/>
        <v>6.8493150684931503E-3</v>
      </c>
      <c r="J18" s="12">
        <f t="shared" si="5"/>
        <v>0.13013698630136986</v>
      </c>
      <c r="K18" s="12"/>
      <c r="L18" s="7"/>
      <c r="M18" s="7"/>
      <c r="N18" s="89"/>
      <c r="O18" s="89"/>
      <c r="P18" s="89"/>
      <c r="Q18" s="89"/>
      <c r="R18" s="89"/>
      <c r="S18" s="89"/>
      <c r="T18" s="89"/>
      <c r="U18" s="89"/>
      <c r="V18" s="14"/>
      <c r="W18" s="7"/>
      <c r="Y18" s="35"/>
      <c r="Z18" s="35"/>
      <c r="AA18" s="35"/>
      <c r="AE18" s="35"/>
      <c r="AF18" s="35"/>
      <c r="AG18" s="35"/>
    </row>
    <row r="19" spans="1:39" x14ac:dyDescent="0.25">
      <c r="A19" t="s">
        <v>59</v>
      </c>
      <c r="B19" s="20">
        <f t="shared" si="4"/>
        <v>0</v>
      </c>
      <c r="C19" s="20">
        <f t="shared" si="4"/>
        <v>1.0273972602739725E-2</v>
      </c>
      <c r="D19" s="20">
        <f t="shared" si="4"/>
        <v>4.4520547945205477E-2</v>
      </c>
      <c r="E19" s="20">
        <f t="shared" si="4"/>
        <v>5.1369863013698627E-2</v>
      </c>
      <c r="F19" s="20">
        <f t="shared" si="4"/>
        <v>5.8219178082191778E-2</v>
      </c>
      <c r="G19" s="20">
        <f t="shared" si="4"/>
        <v>1.0273972602739725E-2</v>
      </c>
      <c r="H19" s="20">
        <f t="shared" si="4"/>
        <v>6.8493150684931503E-3</v>
      </c>
      <c r="I19" s="20">
        <f t="shared" si="4"/>
        <v>0</v>
      </c>
      <c r="J19" s="12">
        <f t="shared" si="5"/>
        <v>0.18150684931506847</v>
      </c>
      <c r="K19" s="12"/>
      <c r="L19" s="7"/>
      <c r="M19" s="7"/>
      <c r="N19" s="89"/>
      <c r="O19" s="89"/>
      <c r="P19" s="89"/>
      <c r="Q19" s="89"/>
      <c r="R19" s="89"/>
      <c r="S19" s="89"/>
      <c r="T19" s="89"/>
      <c r="U19" s="89"/>
      <c r="V19" s="14"/>
      <c r="W19" s="7"/>
      <c r="Y19" s="35"/>
      <c r="Z19" s="35"/>
      <c r="AA19" s="35"/>
      <c r="AE19" s="35"/>
      <c r="AF19" s="35"/>
      <c r="AG19" s="35"/>
    </row>
    <row r="20" spans="1:39" x14ac:dyDescent="0.25">
      <c r="A20" t="s">
        <v>60</v>
      </c>
      <c r="B20" s="20">
        <f t="shared" si="4"/>
        <v>3.4246575342465752E-3</v>
      </c>
      <c r="C20" s="20">
        <f t="shared" si="4"/>
        <v>6.8493150684931503E-3</v>
      </c>
      <c r="D20" s="20">
        <f t="shared" si="4"/>
        <v>5.8219178082191778E-2</v>
      </c>
      <c r="E20" s="20">
        <f t="shared" si="4"/>
        <v>0.17808219178082191</v>
      </c>
      <c r="F20" s="20">
        <f t="shared" si="4"/>
        <v>3.4246575342465752E-2</v>
      </c>
      <c r="G20" s="20">
        <f t="shared" si="4"/>
        <v>1.3698630136986301E-2</v>
      </c>
      <c r="H20" s="20">
        <f t="shared" si="4"/>
        <v>3.4246575342465752E-3</v>
      </c>
      <c r="I20" s="20">
        <f t="shared" si="4"/>
        <v>3.4246575342465752E-3</v>
      </c>
      <c r="J20" s="12">
        <f t="shared" si="5"/>
        <v>0.30136986301369867</v>
      </c>
      <c r="K20" s="12"/>
      <c r="L20" s="7"/>
      <c r="M20" s="7"/>
      <c r="N20" s="89"/>
      <c r="O20" s="89"/>
      <c r="P20" s="89"/>
      <c r="Q20" s="89"/>
      <c r="R20" s="89"/>
      <c r="S20" s="89"/>
      <c r="T20" s="89"/>
      <c r="U20" s="89"/>
      <c r="V20" s="14"/>
      <c r="W20" s="7"/>
      <c r="Y20" s="35"/>
      <c r="Z20" s="35"/>
      <c r="AA20" s="35"/>
      <c r="AE20" s="35"/>
      <c r="AF20" s="35"/>
      <c r="AG20" s="35"/>
    </row>
    <row r="21" spans="1:39" x14ac:dyDescent="0.25">
      <c r="A21" t="s">
        <v>62</v>
      </c>
      <c r="B21" s="20">
        <f t="shared" si="4"/>
        <v>0</v>
      </c>
      <c r="C21" s="20">
        <f t="shared" si="4"/>
        <v>6.8493150684931503E-3</v>
      </c>
      <c r="D21" s="20">
        <f t="shared" si="4"/>
        <v>5.8219178082191778E-2</v>
      </c>
      <c r="E21" s="20">
        <f t="shared" si="4"/>
        <v>5.1369863013698627E-2</v>
      </c>
      <c r="F21" s="20">
        <f t="shared" si="4"/>
        <v>1.3698630136986301E-2</v>
      </c>
      <c r="G21" s="20">
        <f t="shared" si="4"/>
        <v>3.4246575342465752E-3</v>
      </c>
      <c r="H21" s="20">
        <f t="shared" si="4"/>
        <v>3.4246575342465752E-3</v>
      </c>
      <c r="I21" s="20">
        <f t="shared" si="4"/>
        <v>0</v>
      </c>
      <c r="J21" s="12">
        <f t="shared" si="5"/>
        <v>0.13698630136986301</v>
      </c>
      <c r="K21" s="12"/>
      <c r="L21" s="7"/>
      <c r="M21" s="7"/>
      <c r="N21" s="89"/>
      <c r="O21" s="89"/>
      <c r="P21" s="89"/>
      <c r="Q21" s="89"/>
      <c r="R21" s="89"/>
      <c r="S21" s="89"/>
      <c r="T21" s="89"/>
      <c r="U21" s="89"/>
      <c r="V21" s="14"/>
      <c r="W21" s="7"/>
      <c r="Y21" s="35"/>
      <c r="Z21" s="35"/>
      <c r="AA21" s="35"/>
      <c r="AE21" s="35"/>
      <c r="AF21" s="35"/>
      <c r="AG21" s="35"/>
    </row>
    <row r="22" spans="1:39" x14ac:dyDescent="0.25">
      <c r="A22" t="s">
        <v>63</v>
      </c>
      <c r="B22" s="20">
        <f t="shared" si="4"/>
        <v>3.4246575342465752E-3</v>
      </c>
      <c r="C22" s="20">
        <f t="shared" si="4"/>
        <v>2.0547945205479451E-2</v>
      </c>
      <c r="D22" s="20">
        <f t="shared" si="4"/>
        <v>1.7123287671232876E-2</v>
      </c>
      <c r="E22" s="20">
        <f t="shared" si="4"/>
        <v>1.3698630136986301E-2</v>
      </c>
      <c r="F22" s="20">
        <f t="shared" si="4"/>
        <v>3.4246575342465752E-3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12">
        <f t="shared" si="5"/>
        <v>5.8219178082191778E-2</v>
      </c>
      <c r="K22" s="12"/>
      <c r="L22" s="7"/>
      <c r="M22" s="7"/>
      <c r="N22" s="89"/>
      <c r="O22" s="89"/>
      <c r="P22" s="89"/>
      <c r="Q22" s="89"/>
      <c r="R22" s="89"/>
      <c r="S22" s="89"/>
      <c r="T22" s="89"/>
      <c r="U22" s="89"/>
      <c r="V22" s="14"/>
      <c r="W22" s="7"/>
      <c r="Y22" s="35"/>
      <c r="Z22" s="35"/>
      <c r="AA22" s="35"/>
      <c r="AE22" s="35"/>
      <c r="AF22" s="35"/>
      <c r="AG22" s="35"/>
    </row>
    <row r="23" spans="1:39" x14ac:dyDescent="0.25">
      <c r="A23" t="s">
        <v>64</v>
      </c>
      <c r="B23" s="20">
        <f t="shared" si="4"/>
        <v>1.3698630136986301E-2</v>
      </c>
      <c r="C23" s="20">
        <f t="shared" si="4"/>
        <v>0</v>
      </c>
      <c r="D23" s="20">
        <f t="shared" si="4"/>
        <v>6.8493150684931503E-3</v>
      </c>
      <c r="E23" s="20">
        <f t="shared" si="4"/>
        <v>3.4246575342465752E-3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12">
        <f t="shared" si="5"/>
        <v>2.3972602739726026E-2</v>
      </c>
      <c r="K23" s="12"/>
      <c r="L23" s="7"/>
      <c r="M23" s="7"/>
      <c r="N23" s="89"/>
      <c r="O23" s="89"/>
      <c r="P23" s="89"/>
      <c r="Q23" s="89"/>
      <c r="R23" s="89"/>
      <c r="S23" s="89"/>
      <c r="T23" s="89"/>
      <c r="U23" s="89"/>
      <c r="V23" s="14"/>
      <c r="W23" s="7"/>
      <c r="Y23" s="35"/>
      <c r="Z23" s="35"/>
      <c r="AA23" s="35"/>
      <c r="AE23" s="35"/>
      <c r="AF23" s="35"/>
      <c r="AG23" s="35"/>
    </row>
    <row r="24" spans="1:39" x14ac:dyDescent="0.25">
      <c r="A24" s="5" t="s">
        <v>91</v>
      </c>
      <c r="B24" s="13">
        <f>SUM(B16:B23)</f>
        <v>2.3972602739726026E-2</v>
      </c>
      <c r="C24" s="13">
        <f t="shared" ref="C24:I24" si="6">SUM(C16:C23)</f>
        <v>6.1643835616438353E-2</v>
      </c>
      <c r="D24" s="13">
        <f t="shared" si="6"/>
        <v>0.23630136986301373</v>
      </c>
      <c r="E24" s="13">
        <f t="shared" si="6"/>
        <v>0.41438356164383561</v>
      </c>
      <c r="F24" s="13">
        <f t="shared" si="6"/>
        <v>0.14726027397260272</v>
      </c>
      <c r="G24" s="13">
        <f t="shared" si="6"/>
        <v>5.8219178082191778E-2</v>
      </c>
      <c r="H24" s="13">
        <f t="shared" si="6"/>
        <v>3.4246575342465752E-2</v>
      </c>
      <c r="I24" s="13">
        <f t="shared" si="6"/>
        <v>2.3972602739726026E-2</v>
      </c>
      <c r="J24" s="19">
        <f>SUM(B24:I24)</f>
        <v>1</v>
      </c>
      <c r="K24" s="4"/>
      <c r="L24" s="7"/>
      <c r="M24" s="8"/>
      <c r="N24" s="14"/>
      <c r="O24" s="14"/>
      <c r="P24" s="14"/>
      <c r="Q24" s="14"/>
      <c r="R24" s="14"/>
      <c r="S24" s="14"/>
      <c r="T24" s="14"/>
      <c r="U24" s="14"/>
      <c r="V24" s="18"/>
      <c r="W24" s="7"/>
      <c r="Y24" s="35"/>
      <c r="Z24" s="35"/>
      <c r="AA24" s="35"/>
      <c r="AE24" s="35"/>
      <c r="AF24" s="35"/>
      <c r="AG24" s="35"/>
    </row>
    <row r="25" spans="1:39" s="7" customFormat="1" x14ac:dyDescent="0.25">
      <c r="A25" s="5" t="s">
        <v>88</v>
      </c>
      <c r="B25" s="6" t="s">
        <v>64</v>
      </c>
      <c r="C25" s="6" t="s">
        <v>63</v>
      </c>
      <c r="D25" s="6" t="s">
        <v>62</v>
      </c>
      <c r="E25" s="6" t="s">
        <v>60</v>
      </c>
      <c r="F25" s="6" t="s">
        <v>59</v>
      </c>
      <c r="G25" s="6" t="s">
        <v>57</v>
      </c>
      <c r="H25" s="6" t="s">
        <v>89</v>
      </c>
      <c r="I25" s="6" t="s">
        <v>55</v>
      </c>
      <c r="J25" s="4"/>
      <c r="K25" s="4"/>
      <c r="M25" s="8"/>
      <c r="X25" s="35"/>
      <c r="Y25" s="35"/>
      <c r="Z25" s="35"/>
      <c r="AA25" s="42"/>
      <c r="AB25"/>
      <c r="AC25"/>
      <c r="AD25" s="35"/>
      <c r="AE25" s="35"/>
      <c r="AF25" s="35"/>
      <c r="AG25" s="35"/>
      <c r="AH25"/>
      <c r="AI25"/>
      <c r="AJ25"/>
      <c r="AK25"/>
      <c r="AL25"/>
      <c r="AM25"/>
    </row>
    <row r="26" spans="1:39" s="7" customFormat="1" x14ac:dyDescent="0.25">
      <c r="A26" s="8"/>
      <c r="M26" s="8"/>
    </row>
    <row r="27" spans="1:39" s="7" customFormat="1" x14ac:dyDescent="0.25">
      <c r="A27" s="8" t="s">
        <v>103</v>
      </c>
      <c r="G27" s="8" t="s">
        <v>104</v>
      </c>
      <c r="M27" s="8"/>
    </row>
    <row r="28" spans="1:39" x14ac:dyDescent="0.25">
      <c r="A28" s="8" t="s">
        <v>67</v>
      </c>
      <c r="B28" s="7" t="s">
        <v>68</v>
      </c>
      <c r="C28" s="7" t="s">
        <v>69</v>
      </c>
      <c r="D28" s="7" t="s">
        <v>70</v>
      </c>
      <c r="E28" s="7" t="s">
        <v>69</v>
      </c>
      <c r="F28" s="7"/>
      <c r="G28" s="8" t="s">
        <v>102</v>
      </c>
      <c r="H28" s="7" t="s">
        <v>68</v>
      </c>
      <c r="I28" s="7" t="s">
        <v>69</v>
      </c>
      <c r="J28" s="7" t="s">
        <v>70</v>
      </c>
      <c r="K28" s="7" t="s">
        <v>69</v>
      </c>
      <c r="M28" s="8"/>
      <c r="N28" s="7" t="s">
        <v>68</v>
      </c>
      <c r="O28" s="7" t="s">
        <v>69</v>
      </c>
      <c r="P28" s="7" t="s">
        <v>70</v>
      </c>
      <c r="Q28" s="7" t="s">
        <v>69</v>
      </c>
      <c r="R28" s="7"/>
      <c r="S28" s="7"/>
      <c r="T28" s="7"/>
      <c r="U28" s="7"/>
      <c r="V28" s="7"/>
    </row>
    <row r="29" spans="1:39" x14ac:dyDescent="0.25">
      <c r="A29" t="s">
        <v>71</v>
      </c>
      <c r="B29">
        <f>J11</f>
        <v>292</v>
      </c>
      <c r="C29" s="9">
        <f>B29/B29</f>
        <v>1</v>
      </c>
      <c r="D29">
        <v>64</v>
      </c>
      <c r="E29" s="9">
        <f>D29/D29</f>
        <v>1</v>
      </c>
      <c r="G29" t="s">
        <v>71</v>
      </c>
      <c r="H29">
        <f>J11</f>
        <v>292</v>
      </c>
      <c r="I29" s="9">
        <f t="shared" ref="I29:I39" si="7">H29/$H$29</f>
        <v>1</v>
      </c>
      <c r="J29">
        <v>64</v>
      </c>
      <c r="K29" s="9">
        <f>J29/J29</f>
        <v>1</v>
      </c>
      <c r="M29" t="s">
        <v>197</v>
      </c>
      <c r="N29" s="36">
        <v>360</v>
      </c>
      <c r="O29" s="9">
        <v>1</v>
      </c>
      <c r="P29">
        <v>64</v>
      </c>
      <c r="Q29" s="9">
        <v>1</v>
      </c>
      <c r="U29" s="47"/>
      <c r="V29" s="7"/>
    </row>
    <row r="30" spans="1:39" x14ac:dyDescent="0.25">
      <c r="A30" t="s">
        <v>66</v>
      </c>
      <c r="B30">
        <f>B3+C3+B4</f>
        <v>4</v>
      </c>
      <c r="C30" s="11">
        <f t="shared" ref="C30:C39" si="8">B30/B$29</f>
        <v>1.3698630136986301E-2</v>
      </c>
      <c r="D30">
        <v>3</v>
      </c>
      <c r="E30" s="9">
        <f t="shared" ref="E30:E39" si="9">D30/D$29</f>
        <v>4.6875E-2</v>
      </c>
      <c r="G30" t="s">
        <v>116</v>
      </c>
      <c r="H30">
        <f>B3</f>
        <v>1</v>
      </c>
      <c r="I30" s="9">
        <f t="shared" si="7"/>
        <v>3.4246575342465752E-3</v>
      </c>
      <c r="J30">
        <v>1</v>
      </c>
      <c r="K30" s="9">
        <f t="shared" ref="K30:K39" si="10">J30/J$29</f>
        <v>1.5625E-2</v>
      </c>
      <c r="N30" s="36"/>
      <c r="O30" s="11"/>
      <c r="Q30" s="9"/>
      <c r="U30" s="47"/>
      <c r="V30" s="7"/>
    </row>
    <row r="31" spans="1:39" x14ac:dyDescent="0.25">
      <c r="A31" t="s">
        <v>72</v>
      </c>
      <c r="B31">
        <f>B3+B4+C3+C4+C5+D4+D5+D6+E5+E6+E7+F6</f>
        <v>133</v>
      </c>
      <c r="C31" s="11">
        <f t="shared" si="8"/>
        <v>0.45547945205479451</v>
      </c>
      <c r="D31">
        <v>12</v>
      </c>
      <c r="E31" s="9">
        <f t="shared" si="9"/>
        <v>0.1875</v>
      </c>
      <c r="G31" t="s">
        <v>117</v>
      </c>
      <c r="H31">
        <f>B3+C4+D5+E6</f>
        <v>26</v>
      </c>
      <c r="I31" s="9">
        <f t="shared" si="7"/>
        <v>8.9041095890410954E-2</v>
      </c>
      <c r="J31">
        <v>4</v>
      </c>
      <c r="K31" s="9">
        <f t="shared" si="10"/>
        <v>6.25E-2</v>
      </c>
      <c r="N31" s="36"/>
      <c r="O31" s="11"/>
      <c r="Q31" s="9"/>
      <c r="U31" s="47"/>
      <c r="V31" s="7"/>
    </row>
    <row r="32" spans="1:39" x14ac:dyDescent="0.25">
      <c r="A32" t="s">
        <v>73</v>
      </c>
      <c r="B32">
        <f>SUM(B3:B7, C3:C7, D3:D7, E3:E7, F3:F6)</f>
        <v>186</v>
      </c>
      <c r="C32" s="11">
        <f t="shared" si="8"/>
        <v>0.63698630136986301</v>
      </c>
      <c r="D32">
        <v>24</v>
      </c>
      <c r="E32" s="9">
        <f t="shared" si="9"/>
        <v>0.375</v>
      </c>
      <c r="G32" t="s">
        <v>118</v>
      </c>
      <c r="H32">
        <f>SUM(B3:B6) + SUM(C3:C6) + SUM(D3:D6) + SUM(E3:E6)</f>
        <v>86</v>
      </c>
      <c r="I32" s="9">
        <f t="shared" si="7"/>
        <v>0.29452054794520549</v>
      </c>
      <c r="J32">
        <v>16</v>
      </c>
      <c r="K32" s="9">
        <f t="shared" si="10"/>
        <v>0.25</v>
      </c>
      <c r="M32" t="s">
        <v>251</v>
      </c>
      <c r="N32" s="36">
        <f>H32-E6</f>
        <v>71</v>
      </c>
      <c r="O32" s="11">
        <f>N32/N29</f>
        <v>0.19722222222222222</v>
      </c>
      <c r="P32">
        <v>15</v>
      </c>
      <c r="Q32" s="9">
        <f>P32/$P$29</f>
        <v>0.234375</v>
      </c>
      <c r="U32" s="47"/>
      <c r="V32" s="7"/>
    </row>
    <row r="33" spans="1:22" x14ac:dyDescent="0.25">
      <c r="A33" t="s">
        <v>74</v>
      </c>
      <c r="B33">
        <f>SUM(B3:B10, C3:C9, D3:D8, E3:E7, F3:F6, G3:G5, H3:H4, I3)</f>
        <v>232</v>
      </c>
      <c r="C33" s="11">
        <f t="shared" si="8"/>
        <v>0.79452054794520544</v>
      </c>
      <c r="D33">
        <v>36</v>
      </c>
      <c r="E33" s="9">
        <f t="shared" si="9"/>
        <v>0.5625</v>
      </c>
      <c r="G33" t="s">
        <v>119</v>
      </c>
      <c r="H33">
        <f>SUM(B3:B9)+SUM(C3:C8)+SUM(D3:D7)+SUM(E3:E6)+SUM(F3:F5)+SUM(G3:G4)+H3</f>
        <v>124</v>
      </c>
      <c r="I33" s="9">
        <f t="shared" si="7"/>
        <v>0.42465753424657532</v>
      </c>
      <c r="J33">
        <v>28</v>
      </c>
      <c r="K33" s="9">
        <f t="shared" si="10"/>
        <v>0.4375</v>
      </c>
      <c r="M33" t="s">
        <v>252</v>
      </c>
      <c r="N33" s="36">
        <f>H33-E6</f>
        <v>109</v>
      </c>
      <c r="O33" s="11">
        <f>N33/N29</f>
        <v>0.30277777777777776</v>
      </c>
      <c r="P33">
        <v>27</v>
      </c>
      <c r="Q33" s="9">
        <f>P33/$P$29</f>
        <v>0.421875</v>
      </c>
      <c r="U33" s="47"/>
      <c r="V33" s="7"/>
    </row>
    <row r="34" spans="1:22" x14ac:dyDescent="0.25">
      <c r="A34" t="s">
        <v>75</v>
      </c>
      <c r="B34">
        <f>SUM(B9:B10, C8:C10, D7:D9, E6:E8, F5:F7, G4:G6, H3:H5, I3:I4)</f>
        <v>184</v>
      </c>
      <c r="C34" s="11">
        <f t="shared" si="8"/>
        <v>0.63013698630136983</v>
      </c>
      <c r="D34">
        <v>22</v>
      </c>
      <c r="E34" s="9">
        <f t="shared" si="9"/>
        <v>0.34375</v>
      </c>
      <c r="G34" t="s">
        <v>120</v>
      </c>
      <c r="H34">
        <f>B10+C9+D8+E7+F6+G5+H4+I3+E6+F7</f>
        <v>133</v>
      </c>
      <c r="I34" s="22">
        <f t="shared" si="7"/>
        <v>0.45547945205479451</v>
      </c>
      <c r="J34">
        <v>10</v>
      </c>
      <c r="K34" s="9">
        <f t="shared" si="10"/>
        <v>0.15625</v>
      </c>
      <c r="N34" s="36"/>
      <c r="O34" s="11"/>
      <c r="Q34" s="9"/>
      <c r="U34" s="47"/>
      <c r="V34" s="7"/>
    </row>
    <row r="35" spans="1:22" x14ac:dyDescent="0.25">
      <c r="A35" t="s">
        <v>76</v>
      </c>
      <c r="B35">
        <f>SUM(E6:E7, F6:F7)</f>
        <v>94</v>
      </c>
      <c r="C35" s="11">
        <f t="shared" si="8"/>
        <v>0.32191780821917809</v>
      </c>
      <c r="D35">
        <v>4</v>
      </c>
      <c r="E35" s="9">
        <f t="shared" si="9"/>
        <v>6.25E-2</v>
      </c>
      <c r="G35" t="s">
        <v>121</v>
      </c>
      <c r="H35">
        <f>E7+F6</f>
        <v>69</v>
      </c>
      <c r="I35" s="22">
        <f t="shared" si="7"/>
        <v>0.2363013698630137</v>
      </c>
      <c r="J35">
        <v>2</v>
      </c>
      <c r="K35" s="9">
        <f t="shared" si="10"/>
        <v>3.125E-2</v>
      </c>
      <c r="N35" s="36"/>
      <c r="O35" s="11"/>
      <c r="Q35" s="9"/>
      <c r="U35" s="47"/>
      <c r="V35" s="7"/>
    </row>
    <row r="36" spans="1:22" x14ac:dyDescent="0.25">
      <c r="A36" t="s">
        <v>200</v>
      </c>
      <c r="B36">
        <f>I10</f>
        <v>0</v>
      </c>
      <c r="C36" s="11">
        <f t="shared" si="8"/>
        <v>0</v>
      </c>
      <c r="D36">
        <v>3</v>
      </c>
      <c r="E36" s="9">
        <f t="shared" si="9"/>
        <v>4.6875E-2</v>
      </c>
      <c r="G36" t="s">
        <v>198</v>
      </c>
      <c r="H36">
        <f>I10</f>
        <v>0</v>
      </c>
      <c r="I36" s="14">
        <f t="shared" si="7"/>
        <v>0</v>
      </c>
      <c r="J36">
        <v>1</v>
      </c>
      <c r="K36" s="9">
        <f t="shared" si="10"/>
        <v>1.5625E-2</v>
      </c>
      <c r="N36" s="36"/>
      <c r="O36" s="11"/>
      <c r="Q36" s="9"/>
      <c r="U36" s="47"/>
      <c r="V36" s="7"/>
    </row>
    <row r="37" spans="1:22" x14ac:dyDescent="0.25">
      <c r="A37" t="s">
        <v>134</v>
      </c>
      <c r="B37">
        <f>SUM(I9:I10,H8:H10, G7:G9, F6:F8,E7)</f>
        <v>89</v>
      </c>
      <c r="C37" s="11">
        <f t="shared" si="8"/>
        <v>0.3047945205479452</v>
      </c>
      <c r="D37">
        <v>12</v>
      </c>
      <c r="E37" s="9">
        <f t="shared" si="9"/>
        <v>0.1875</v>
      </c>
      <c r="G37" t="s">
        <v>1</v>
      </c>
      <c r="H37">
        <f>I10+H9+G8+F7</f>
        <v>11</v>
      </c>
      <c r="I37" s="14">
        <f t="shared" si="7"/>
        <v>3.7671232876712327E-2</v>
      </c>
      <c r="J37">
        <v>4</v>
      </c>
      <c r="K37" s="9">
        <f t="shared" si="10"/>
        <v>6.25E-2</v>
      </c>
      <c r="N37" s="36"/>
      <c r="O37" s="11"/>
      <c r="Q37" s="9"/>
      <c r="U37" s="47"/>
      <c r="V37" s="7"/>
    </row>
    <row r="38" spans="1:22" x14ac:dyDescent="0.25">
      <c r="A38" t="s">
        <v>135</v>
      </c>
      <c r="B38">
        <f>SUM(E10:I10, E9:I9, E8:I8, E7:I7, F6:I6)</f>
        <v>117</v>
      </c>
      <c r="C38" s="11">
        <f t="shared" si="8"/>
        <v>0.40068493150684931</v>
      </c>
      <c r="D38">
        <v>24</v>
      </c>
      <c r="E38" s="9">
        <f t="shared" si="9"/>
        <v>0.375</v>
      </c>
      <c r="G38" t="s">
        <v>137</v>
      </c>
      <c r="H38">
        <f>SUM(F10:I10, F9:I9, F8:I8, F7:I7)</f>
        <v>23</v>
      </c>
      <c r="I38" s="14">
        <f t="shared" si="7"/>
        <v>7.8767123287671229E-2</v>
      </c>
      <c r="J38">
        <v>16</v>
      </c>
      <c r="K38" s="9">
        <f t="shared" si="10"/>
        <v>0.25</v>
      </c>
      <c r="M38" t="s">
        <v>253</v>
      </c>
      <c r="N38" s="36">
        <f>H38-F7</f>
        <v>13</v>
      </c>
      <c r="O38" s="11">
        <f>N38/N29</f>
        <v>3.6111111111111108E-2</v>
      </c>
      <c r="P38">
        <v>15</v>
      </c>
      <c r="Q38" s="9">
        <f t="shared" ref="Q38:Q39" si="11">P38/$P$29</f>
        <v>0.234375</v>
      </c>
      <c r="S38" t="s">
        <v>137</v>
      </c>
      <c r="T38">
        <f>H38+'Version 5 (LE)'!H38</f>
        <v>70</v>
      </c>
      <c r="U38" s="47" t="e">
        <f t="shared" ref="U38" si="12">T38/T$29</f>
        <v>#DIV/0!</v>
      </c>
      <c r="V38" s="7"/>
    </row>
    <row r="39" spans="1:22" x14ac:dyDescent="0.25">
      <c r="A39" t="s">
        <v>136</v>
      </c>
      <c r="B39">
        <f>SUM(B10:I10, C9:I9, D8:I8, E7:I7, F6:I6, G5:I5, H4:I4, I3)</f>
        <v>168</v>
      </c>
      <c r="C39" s="11">
        <f t="shared" si="8"/>
        <v>0.57534246575342463</v>
      </c>
      <c r="D39">
        <v>36</v>
      </c>
      <c r="E39" s="9">
        <f t="shared" si="9"/>
        <v>0.5625</v>
      </c>
      <c r="G39" t="s">
        <v>138</v>
      </c>
      <c r="H39">
        <f>SUM(C10:I10, D9:I9, E8:I8, F7:I7,G6:I6, H5:I5, I4)</f>
        <v>60</v>
      </c>
      <c r="I39" s="14">
        <f t="shared" si="7"/>
        <v>0.20547945205479451</v>
      </c>
      <c r="J39">
        <v>28</v>
      </c>
      <c r="K39" s="9">
        <f t="shared" si="10"/>
        <v>0.4375</v>
      </c>
      <c r="M39" t="s">
        <v>254</v>
      </c>
      <c r="N39" s="36">
        <f>H39-F7</f>
        <v>50</v>
      </c>
      <c r="O39" s="11">
        <f>N39/N29</f>
        <v>0.1388888888888889</v>
      </c>
      <c r="P39">
        <v>27</v>
      </c>
      <c r="Q39" s="9">
        <f t="shared" si="11"/>
        <v>0.421875</v>
      </c>
      <c r="S39" t="s">
        <v>138</v>
      </c>
      <c r="T39">
        <f>H39+'Version 5 (LE)'!H39</f>
        <v>134</v>
      </c>
      <c r="U39" s="47" t="e">
        <f>T39/T$29</f>
        <v>#DIV/0!</v>
      </c>
      <c r="V39" s="7"/>
    </row>
    <row r="40" spans="1:22" x14ac:dyDescent="0.25">
      <c r="C40" s="11"/>
      <c r="E40" s="9"/>
      <c r="I40" s="9"/>
      <c r="K40" s="9"/>
      <c r="O40" s="11"/>
      <c r="Q40" s="9"/>
      <c r="V40" s="7"/>
    </row>
    <row r="41" spans="1:22" x14ac:dyDescent="0.25">
      <c r="A41" t="s">
        <v>124</v>
      </c>
      <c r="B41">
        <f>B29-B35</f>
        <v>198</v>
      </c>
      <c r="C41" s="11">
        <v>1</v>
      </c>
      <c r="D41">
        <v>60</v>
      </c>
      <c r="E41" s="9">
        <v>1</v>
      </c>
      <c r="G41" t="s">
        <v>125</v>
      </c>
      <c r="H41">
        <f>H29-H35</f>
        <v>223</v>
      </c>
      <c r="I41" s="9">
        <v>1</v>
      </c>
      <c r="J41">
        <v>62</v>
      </c>
      <c r="K41" s="9">
        <v>1</v>
      </c>
      <c r="O41" s="11"/>
      <c r="Q41" s="9"/>
      <c r="V41" s="7"/>
    </row>
    <row r="42" spans="1:22" x14ac:dyDescent="0.25">
      <c r="A42" t="s">
        <v>80</v>
      </c>
      <c r="B42">
        <f>B34-B35</f>
        <v>90</v>
      </c>
      <c r="C42" s="11">
        <f>B42/B$41</f>
        <v>0.45454545454545453</v>
      </c>
      <c r="D42">
        <v>18</v>
      </c>
      <c r="E42" s="9">
        <f>D42/D$41</f>
        <v>0.3</v>
      </c>
      <c r="G42" t="s">
        <v>122</v>
      </c>
      <c r="H42">
        <f>H34-E7-F6</f>
        <v>64</v>
      </c>
      <c r="I42" s="9">
        <f>H42/$H$41</f>
        <v>0.28699551569506726</v>
      </c>
      <c r="J42">
        <v>6</v>
      </c>
      <c r="K42" s="9">
        <f>J42/J$41</f>
        <v>9.6774193548387094E-2</v>
      </c>
      <c r="O42" s="11"/>
      <c r="Q42" s="9"/>
      <c r="V42" s="7"/>
    </row>
    <row r="43" spans="1:22" x14ac:dyDescent="0.25">
      <c r="C43" s="10"/>
      <c r="E43" s="9"/>
      <c r="O43" s="11"/>
      <c r="Q43" s="9"/>
      <c r="V43" s="7"/>
    </row>
    <row r="44" spans="1:22" x14ac:dyDescent="0.25">
      <c r="A44" t="s">
        <v>81</v>
      </c>
      <c r="B44">
        <f>B29-B34</f>
        <v>108</v>
      </c>
      <c r="C44" s="10">
        <f t="shared" ref="C44:C52" si="13">B44/B$44</f>
        <v>1</v>
      </c>
      <c r="D44">
        <v>42</v>
      </c>
      <c r="E44" s="9">
        <f t="shared" ref="E44:E52" si="14">D44/D$44</f>
        <v>1</v>
      </c>
      <c r="G44" t="s">
        <v>129</v>
      </c>
      <c r="H44">
        <f>H29-H34</f>
        <v>159</v>
      </c>
      <c r="I44" s="32">
        <f>H44/H$44</f>
        <v>1</v>
      </c>
      <c r="J44">
        <f>J29-J34</f>
        <v>54</v>
      </c>
      <c r="K44" s="9">
        <f t="shared" ref="K44:K52" si="15">J44/J$44</f>
        <v>1</v>
      </c>
      <c r="O44" s="10"/>
      <c r="Q44" s="9"/>
      <c r="V44" s="7"/>
    </row>
    <row r="45" spans="1:22" x14ac:dyDescent="0.25">
      <c r="A45" t="s">
        <v>82</v>
      </c>
      <c r="B45">
        <f>B30</f>
        <v>4</v>
      </c>
      <c r="C45" s="11">
        <f t="shared" si="13"/>
        <v>3.7037037037037035E-2</v>
      </c>
      <c r="D45">
        <v>3</v>
      </c>
      <c r="E45" s="9">
        <f t="shared" si="14"/>
        <v>7.1428571428571425E-2</v>
      </c>
      <c r="G45" t="s">
        <v>130</v>
      </c>
      <c r="H45">
        <f>H30</f>
        <v>1</v>
      </c>
      <c r="I45" s="32">
        <f>H45/H$44</f>
        <v>6.2893081761006293E-3</v>
      </c>
      <c r="J45">
        <v>1</v>
      </c>
      <c r="K45" s="9">
        <f t="shared" si="15"/>
        <v>1.8518518518518517E-2</v>
      </c>
      <c r="O45" s="10"/>
      <c r="Q45" s="9"/>
      <c r="V45" s="7"/>
    </row>
    <row r="46" spans="1:22" x14ac:dyDescent="0.25">
      <c r="A46" t="s">
        <v>77</v>
      </c>
      <c r="B46">
        <f>B31-(SUM(E6:E7,F6))</f>
        <v>49</v>
      </c>
      <c r="C46" s="11">
        <f t="shared" si="13"/>
        <v>0.45370370370370372</v>
      </c>
      <c r="D46">
        <v>9</v>
      </c>
      <c r="E46" s="9">
        <f t="shared" si="14"/>
        <v>0.21428571428571427</v>
      </c>
      <c r="G46" t="s">
        <v>131</v>
      </c>
      <c r="H46">
        <f>H31</f>
        <v>26</v>
      </c>
      <c r="I46" s="32">
        <f>H46/H$44</f>
        <v>0.16352201257861634</v>
      </c>
      <c r="J46">
        <v>4</v>
      </c>
      <c r="K46" s="9">
        <f t="shared" si="15"/>
        <v>7.407407407407407E-2</v>
      </c>
      <c r="O46" s="11"/>
      <c r="Q46" s="9"/>
      <c r="V46" s="7"/>
    </row>
    <row r="47" spans="1:22" x14ac:dyDescent="0.25">
      <c r="A47" t="s">
        <v>78</v>
      </c>
      <c r="B47">
        <f>$B$32-SUM($D$7, $E$6:E$7, $F$5:$F$6)</f>
        <v>83</v>
      </c>
      <c r="C47" s="11">
        <f t="shared" si="13"/>
        <v>0.76851851851851849</v>
      </c>
      <c r="D47">
        <v>19</v>
      </c>
      <c r="E47" s="9">
        <f t="shared" si="14"/>
        <v>0.45238095238095238</v>
      </c>
      <c r="G47" t="s">
        <v>132</v>
      </c>
      <c r="H47">
        <f>H32</f>
        <v>86</v>
      </c>
      <c r="I47" s="32">
        <f t="shared" ref="I47:I52" si="16">H47/H$44</f>
        <v>0.54088050314465408</v>
      </c>
      <c r="J47">
        <v>16</v>
      </c>
      <c r="K47" s="9">
        <f t="shared" si="15"/>
        <v>0.29629629629629628</v>
      </c>
      <c r="O47" s="11"/>
      <c r="Q47" s="9"/>
      <c r="V47" s="7"/>
    </row>
    <row r="48" spans="1:22" x14ac:dyDescent="0.25">
      <c r="A48" t="s">
        <v>79</v>
      </c>
      <c r="B48">
        <f>B$33-SUM(B$9:B$10, C$8:C$9, D$7:D$8, E$6:E$7, F$5:F$6, G$4:G$5, H$3:H$4, I$3)</f>
        <v>84</v>
      </c>
      <c r="C48" s="11">
        <f t="shared" si="13"/>
        <v>0.77777777777777779</v>
      </c>
      <c r="D48">
        <v>21</v>
      </c>
      <c r="E48" s="9">
        <f t="shared" si="14"/>
        <v>0.5</v>
      </c>
      <c r="G48" t="s">
        <v>133</v>
      </c>
      <c r="H48">
        <f>H33</f>
        <v>124</v>
      </c>
      <c r="I48" s="32">
        <f t="shared" si="16"/>
        <v>0.77987421383647804</v>
      </c>
      <c r="J48">
        <v>28</v>
      </c>
      <c r="K48" s="9">
        <f t="shared" si="15"/>
        <v>0.51851851851851849</v>
      </c>
      <c r="O48" s="11"/>
      <c r="Q48" s="9"/>
      <c r="V48" s="7"/>
    </row>
    <row r="49" spans="1:22" x14ac:dyDescent="0.25">
      <c r="A49" t="s">
        <v>201</v>
      </c>
      <c r="B49">
        <f>B36</f>
        <v>0</v>
      </c>
      <c r="C49" s="11">
        <f t="shared" si="13"/>
        <v>0</v>
      </c>
      <c r="D49">
        <v>3</v>
      </c>
      <c r="E49" s="9">
        <f t="shared" si="14"/>
        <v>7.1428571428571425E-2</v>
      </c>
      <c r="G49" t="s">
        <v>199</v>
      </c>
      <c r="H49">
        <v>0</v>
      </c>
      <c r="I49" s="32">
        <f t="shared" si="16"/>
        <v>0</v>
      </c>
      <c r="J49">
        <v>1</v>
      </c>
      <c r="K49" s="9">
        <f t="shared" si="15"/>
        <v>1.8518518518518517E-2</v>
      </c>
      <c r="O49" s="11"/>
      <c r="Q49" s="9"/>
      <c r="V49" s="7"/>
    </row>
    <row r="50" spans="1:22" x14ac:dyDescent="0.25">
      <c r="A50" t="s">
        <v>139</v>
      </c>
      <c r="B50">
        <f>B37-SUM(F6:F7,E7)</f>
        <v>10</v>
      </c>
      <c r="C50" s="11">
        <f t="shared" si="13"/>
        <v>9.2592592592592587E-2</v>
      </c>
      <c r="D50">
        <v>9</v>
      </c>
      <c r="E50" s="9">
        <f t="shared" si="14"/>
        <v>0.21428571428571427</v>
      </c>
      <c r="G50" t="s">
        <v>0</v>
      </c>
      <c r="H50">
        <f>I10+H9+G8+F7</f>
        <v>11</v>
      </c>
      <c r="I50" s="32">
        <f t="shared" si="16"/>
        <v>6.9182389937106917E-2</v>
      </c>
      <c r="J50">
        <v>4</v>
      </c>
      <c r="K50" s="9">
        <f t="shared" si="15"/>
        <v>7.407407407407407E-2</v>
      </c>
    </row>
    <row r="51" spans="1:22" x14ac:dyDescent="0.25">
      <c r="A51" t="s">
        <v>140</v>
      </c>
      <c r="B51">
        <f>SUM(E10:I10, E9:I9, F8:I8, G7:I7, H6:I6)</f>
        <v>20</v>
      </c>
      <c r="C51" s="11">
        <f t="shared" si="13"/>
        <v>0.18518518518518517</v>
      </c>
      <c r="D51">
        <v>19</v>
      </c>
      <c r="E51" s="9">
        <f t="shared" si="14"/>
        <v>0.45238095238095238</v>
      </c>
      <c r="G51" t="s">
        <v>143</v>
      </c>
      <c r="H51">
        <f>SUM(F7:I10)</f>
        <v>23</v>
      </c>
      <c r="I51" s="32">
        <f t="shared" si="16"/>
        <v>0.14465408805031446</v>
      </c>
      <c r="J51">
        <v>16</v>
      </c>
      <c r="K51" s="9">
        <f t="shared" si="15"/>
        <v>0.29629629629629628</v>
      </c>
    </row>
    <row r="52" spans="1:22" x14ac:dyDescent="0.25">
      <c r="A52" t="s">
        <v>141</v>
      </c>
      <c r="B52">
        <f>SUM(D10:I10, E9:I9, F8:I8, G7:I7, H6:I6, I5)</f>
        <v>24</v>
      </c>
      <c r="C52" s="11">
        <f t="shared" si="13"/>
        <v>0.22222222222222221</v>
      </c>
      <c r="D52">
        <v>21</v>
      </c>
      <c r="E52" s="9">
        <f t="shared" si="14"/>
        <v>0.5</v>
      </c>
      <c r="G52" t="s">
        <v>144</v>
      </c>
      <c r="H52">
        <f>H39</f>
        <v>60</v>
      </c>
      <c r="I52" s="32">
        <f t="shared" si="16"/>
        <v>0.37735849056603776</v>
      </c>
      <c r="J52">
        <v>28</v>
      </c>
      <c r="K52" s="9">
        <f t="shared" si="15"/>
        <v>0.51851851851851849</v>
      </c>
    </row>
    <row r="54" spans="1:22" x14ac:dyDescent="0.25">
      <c r="A54" t="s">
        <v>196</v>
      </c>
      <c r="B54">
        <f>B29</f>
        <v>292</v>
      </c>
      <c r="C54" s="11">
        <v>1</v>
      </c>
      <c r="D54">
        <v>64</v>
      </c>
      <c r="E54">
        <v>100</v>
      </c>
      <c r="G54" t="s">
        <v>197</v>
      </c>
      <c r="H54">
        <v>360</v>
      </c>
      <c r="I54" s="11">
        <v>1</v>
      </c>
      <c r="J54">
        <v>64</v>
      </c>
      <c r="K54" s="11">
        <v>1</v>
      </c>
    </row>
    <row r="55" spans="1:22" x14ac:dyDescent="0.25">
      <c r="A55" t="s">
        <v>142</v>
      </c>
      <c r="B55">
        <f>B46</f>
        <v>49</v>
      </c>
      <c r="C55" s="11">
        <f>B55/B$54</f>
        <v>0.1678082191780822</v>
      </c>
      <c r="D55">
        <f>D46</f>
        <v>9</v>
      </c>
      <c r="E55" s="9">
        <f>D55/D$54</f>
        <v>0.140625</v>
      </c>
      <c r="G55" t="s">
        <v>131</v>
      </c>
      <c r="H55">
        <f>H46</f>
        <v>26</v>
      </c>
      <c r="I55" s="32">
        <f>H55/H$54</f>
        <v>7.2222222222222215E-2</v>
      </c>
      <c r="J55">
        <f>J46</f>
        <v>4</v>
      </c>
      <c r="K55" s="9">
        <f>J55/J$54</f>
        <v>6.25E-2</v>
      </c>
    </row>
    <row r="56" spans="1:22" x14ac:dyDescent="0.25">
      <c r="A56" t="s">
        <v>78</v>
      </c>
      <c r="B56">
        <f t="shared" ref="B56:B61" si="17">B47</f>
        <v>83</v>
      </c>
      <c r="C56" s="11">
        <f t="shared" ref="C56:C61" si="18">B56/B$54</f>
        <v>0.28424657534246578</v>
      </c>
      <c r="D56">
        <f t="shared" ref="D56:D61" si="19">D47</f>
        <v>19</v>
      </c>
      <c r="E56" s="9">
        <f t="shared" ref="E56:E61" si="20">D56/D$54</f>
        <v>0.296875</v>
      </c>
      <c r="G56" t="s">
        <v>132</v>
      </c>
      <c r="H56">
        <f t="shared" ref="H56:H61" si="21">H47</f>
        <v>86</v>
      </c>
      <c r="I56" s="32">
        <f t="shared" ref="I56:I61" si="22">H56/H$54</f>
        <v>0.2388888888888889</v>
      </c>
      <c r="J56">
        <f t="shared" ref="J56:J61" si="23">J47</f>
        <v>16</v>
      </c>
      <c r="K56" s="9">
        <f t="shared" ref="K56:K61" si="24">J56/J$54</f>
        <v>0.25</v>
      </c>
    </row>
    <row r="57" spans="1:22" x14ac:dyDescent="0.25">
      <c r="A57" t="s">
        <v>79</v>
      </c>
      <c r="B57">
        <f t="shared" si="17"/>
        <v>84</v>
      </c>
      <c r="C57" s="11">
        <f t="shared" si="18"/>
        <v>0.28767123287671231</v>
      </c>
      <c r="D57">
        <f t="shared" si="19"/>
        <v>21</v>
      </c>
      <c r="E57" s="9">
        <f t="shared" si="20"/>
        <v>0.328125</v>
      </c>
      <c r="G57" t="s">
        <v>133</v>
      </c>
      <c r="H57">
        <f t="shared" si="21"/>
        <v>124</v>
      </c>
      <c r="I57" s="32">
        <f t="shared" si="22"/>
        <v>0.34444444444444444</v>
      </c>
      <c r="J57">
        <f t="shared" si="23"/>
        <v>28</v>
      </c>
      <c r="K57" s="9">
        <f t="shared" si="24"/>
        <v>0.4375</v>
      </c>
    </row>
    <row r="58" spans="1:22" x14ac:dyDescent="0.25">
      <c r="A58" t="s">
        <v>201</v>
      </c>
      <c r="B58">
        <f t="shared" si="17"/>
        <v>0</v>
      </c>
      <c r="C58" s="11">
        <f t="shared" si="18"/>
        <v>0</v>
      </c>
      <c r="D58">
        <f t="shared" si="19"/>
        <v>3</v>
      </c>
      <c r="E58" s="9">
        <f t="shared" si="20"/>
        <v>4.6875E-2</v>
      </c>
      <c r="G58" t="s">
        <v>199</v>
      </c>
      <c r="H58">
        <f t="shared" si="21"/>
        <v>0</v>
      </c>
      <c r="I58" s="32">
        <f t="shared" si="22"/>
        <v>0</v>
      </c>
      <c r="J58">
        <f t="shared" si="23"/>
        <v>1</v>
      </c>
      <c r="K58" s="9">
        <f t="shared" si="24"/>
        <v>1.5625E-2</v>
      </c>
    </row>
    <row r="59" spans="1:22" x14ac:dyDescent="0.25">
      <c r="A59" t="s">
        <v>139</v>
      </c>
      <c r="B59">
        <f t="shared" si="17"/>
        <v>10</v>
      </c>
      <c r="C59" s="11">
        <f t="shared" si="18"/>
        <v>3.4246575342465752E-2</v>
      </c>
      <c r="D59">
        <f t="shared" si="19"/>
        <v>9</v>
      </c>
      <c r="E59" s="9">
        <f t="shared" si="20"/>
        <v>0.140625</v>
      </c>
      <c r="G59" t="s">
        <v>0</v>
      </c>
      <c r="H59">
        <f t="shared" si="21"/>
        <v>11</v>
      </c>
      <c r="I59" s="32">
        <f t="shared" si="22"/>
        <v>3.0555555555555555E-2</v>
      </c>
      <c r="J59">
        <f t="shared" si="23"/>
        <v>4</v>
      </c>
      <c r="K59" s="9">
        <f t="shared" si="24"/>
        <v>6.25E-2</v>
      </c>
    </row>
    <row r="60" spans="1:22" x14ac:dyDescent="0.25">
      <c r="A60" t="s">
        <v>140</v>
      </c>
      <c r="B60">
        <f t="shared" si="17"/>
        <v>20</v>
      </c>
      <c r="C60" s="11">
        <f t="shared" si="18"/>
        <v>6.8493150684931503E-2</v>
      </c>
      <c r="D60">
        <f t="shared" si="19"/>
        <v>19</v>
      </c>
      <c r="E60" s="9">
        <f t="shared" si="20"/>
        <v>0.296875</v>
      </c>
      <c r="G60" t="s">
        <v>143</v>
      </c>
      <c r="H60">
        <f t="shared" si="21"/>
        <v>23</v>
      </c>
      <c r="I60" s="32">
        <f t="shared" si="22"/>
        <v>6.3888888888888884E-2</v>
      </c>
      <c r="J60">
        <f t="shared" si="23"/>
        <v>16</v>
      </c>
      <c r="K60" s="9">
        <f t="shared" si="24"/>
        <v>0.25</v>
      </c>
    </row>
    <row r="61" spans="1:22" x14ac:dyDescent="0.25">
      <c r="A61" t="s">
        <v>141</v>
      </c>
      <c r="B61">
        <f t="shared" si="17"/>
        <v>24</v>
      </c>
      <c r="C61" s="11">
        <f t="shared" si="18"/>
        <v>8.2191780821917804E-2</v>
      </c>
      <c r="D61">
        <f t="shared" si="19"/>
        <v>21</v>
      </c>
      <c r="E61" s="9">
        <f t="shared" si="20"/>
        <v>0.328125</v>
      </c>
      <c r="G61" t="s">
        <v>144</v>
      </c>
      <c r="H61">
        <f t="shared" si="21"/>
        <v>60</v>
      </c>
      <c r="I61" s="32">
        <f t="shared" si="22"/>
        <v>0.16666666666666666</v>
      </c>
      <c r="J61">
        <f t="shared" si="23"/>
        <v>28</v>
      </c>
      <c r="K61" s="9">
        <f t="shared" si="24"/>
        <v>0.4375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opLeftCell="O20" workbookViewId="0">
      <selection activeCell="AH44" sqref="AH44"/>
    </sheetView>
  </sheetViews>
  <sheetFormatPr defaultRowHeight="15" x14ac:dyDescent="0.25"/>
  <cols>
    <col min="11" max="11" width="9.140625" style="47"/>
  </cols>
  <sheetData>
    <row r="1" spans="1:11" x14ac:dyDescent="0.25">
      <c r="A1" t="s">
        <v>274</v>
      </c>
      <c r="J1" t="s">
        <v>58</v>
      </c>
      <c r="K1" s="47" t="s">
        <v>90</v>
      </c>
    </row>
    <row r="2" spans="1:11" x14ac:dyDescent="0.25">
      <c r="A2" t="s">
        <v>61</v>
      </c>
    </row>
    <row r="3" spans="1:11" x14ac:dyDescent="0.25">
      <c r="A3" t="s">
        <v>55</v>
      </c>
      <c r="B3">
        <v>0</v>
      </c>
      <c r="C3">
        <v>1</v>
      </c>
      <c r="D3">
        <v>3</v>
      </c>
      <c r="E3">
        <v>2</v>
      </c>
      <c r="F3">
        <v>0</v>
      </c>
      <c r="G3">
        <v>1</v>
      </c>
      <c r="H3">
        <v>1</v>
      </c>
      <c r="I3">
        <v>5</v>
      </c>
      <c r="J3" s="46">
        <f>SUM(B3:I3)</f>
        <v>13</v>
      </c>
      <c r="K3" s="47">
        <f>J3/J$11</f>
        <v>4.5138888888888888E-2</v>
      </c>
    </row>
    <row r="4" spans="1:11" x14ac:dyDescent="0.25">
      <c r="A4" t="s">
        <v>56</v>
      </c>
      <c r="B4">
        <v>0</v>
      </c>
      <c r="C4">
        <v>1</v>
      </c>
      <c r="D4">
        <v>2</v>
      </c>
      <c r="E4">
        <v>2</v>
      </c>
      <c r="F4">
        <v>1</v>
      </c>
      <c r="G4">
        <v>2</v>
      </c>
      <c r="H4">
        <v>0</v>
      </c>
      <c r="I4">
        <v>1</v>
      </c>
      <c r="J4" s="46">
        <f t="shared" ref="J4:J10" si="0">SUM(B4:I4)</f>
        <v>9</v>
      </c>
      <c r="K4" s="47">
        <f t="shared" ref="K4:K10" si="1">J4/J$11</f>
        <v>3.125E-2</v>
      </c>
    </row>
    <row r="5" spans="1:11" x14ac:dyDescent="0.25">
      <c r="A5" t="s">
        <v>57</v>
      </c>
      <c r="B5">
        <v>0</v>
      </c>
      <c r="C5">
        <v>0</v>
      </c>
      <c r="D5">
        <v>11</v>
      </c>
      <c r="E5">
        <v>17</v>
      </c>
      <c r="F5">
        <v>20</v>
      </c>
      <c r="G5">
        <v>7</v>
      </c>
      <c r="H5">
        <v>0</v>
      </c>
      <c r="I5">
        <v>0</v>
      </c>
      <c r="J5" s="46">
        <f t="shared" si="0"/>
        <v>55</v>
      </c>
      <c r="K5" s="47">
        <f t="shared" si="1"/>
        <v>0.19097222222222221</v>
      </c>
    </row>
    <row r="6" spans="1:11" x14ac:dyDescent="0.25">
      <c r="A6" t="s">
        <v>59</v>
      </c>
      <c r="B6">
        <v>0</v>
      </c>
      <c r="C6">
        <v>1</v>
      </c>
      <c r="D6">
        <v>5</v>
      </c>
      <c r="E6">
        <v>34</v>
      </c>
      <c r="F6">
        <v>16</v>
      </c>
      <c r="G6">
        <v>8</v>
      </c>
      <c r="H6">
        <v>2</v>
      </c>
      <c r="I6">
        <v>0</v>
      </c>
      <c r="J6" s="46">
        <f t="shared" si="0"/>
        <v>66</v>
      </c>
      <c r="K6" s="47">
        <f t="shared" si="1"/>
        <v>0.22916666666666666</v>
      </c>
    </row>
    <row r="7" spans="1:11" x14ac:dyDescent="0.25">
      <c r="A7" t="s">
        <v>60</v>
      </c>
      <c r="B7">
        <v>0</v>
      </c>
      <c r="C7">
        <v>5</v>
      </c>
      <c r="D7">
        <v>18</v>
      </c>
      <c r="E7">
        <v>55</v>
      </c>
      <c r="F7">
        <v>9</v>
      </c>
      <c r="G7">
        <v>1</v>
      </c>
      <c r="H7">
        <v>4</v>
      </c>
      <c r="I7">
        <v>0</v>
      </c>
      <c r="J7" s="46">
        <f t="shared" si="0"/>
        <v>92</v>
      </c>
      <c r="K7" s="47">
        <f t="shared" si="1"/>
        <v>0.31944444444444442</v>
      </c>
    </row>
    <row r="8" spans="1:11" x14ac:dyDescent="0.25">
      <c r="A8" t="s">
        <v>62</v>
      </c>
      <c r="B8">
        <v>0</v>
      </c>
      <c r="C8">
        <v>2</v>
      </c>
      <c r="D8">
        <v>16</v>
      </c>
      <c r="E8">
        <v>10</v>
      </c>
      <c r="F8">
        <v>0</v>
      </c>
      <c r="G8">
        <v>1</v>
      </c>
      <c r="H8">
        <v>0</v>
      </c>
      <c r="I8">
        <v>0</v>
      </c>
      <c r="J8" s="46">
        <f t="shared" si="0"/>
        <v>29</v>
      </c>
      <c r="K8" s="47">
        <f t="shared" si="1"/>
        <v>0.10069444444444445</v>
      </c>
    </row>
    <row r="9" spans="1:11" x14ac:dyDescent="0.25">
      <c r="A9" t="s">
        <v>63</v>
      </c>
      <c r="B9">
        <v>0</v>
      </c>
      <c r="C9">
        <v>9</v>
      </c>
      <c r="D9">
        <v>7</v>
      </c>
      <c r="E9">
        <v>4</v>
      </c>
      <c r="F9">
        <v>0</v>
      </c>
      <c r="G9">
        <v>1</v>
      </c>
      <c r="H9">
        <v>0</v>
      </c>
      <c r="I9">
        <v>0</v>
      </c>
      <c r="J9" s="46">
        <f t="shared" si="0"/>
        <v>21</v>
      </c>
      <c r="K9" s="47">
        <f t="shared" si="1"/>
        <v>7.2916666666666671E-2</v>
      </c>
    </row>
    <row r="10" spans="1:11" x14ac:dyDescent="0.25">
      <c r="A10" t="s">
        <v>64</v>
      </c>
      <c r="B10">
        <v>0</v>
      </c>
      <c r="C10">
        <v>1</v>
      </c>
      <c r="D10">
        <v>0</v>
      </c>
      <c r="E10">
        <v>0</v>
      </c>
      <c r="F10">
        <v>0</v>
      </c>
      <c r="G10">
        <v>0</v>
      </c>
      <c r="H10">
        <v>1</v>
      </c>
      <c r="I10">
        <v>1</v>
      </c>
      <c r="J10" s="46">
        <f t="shared" si="0"/>
        <v>3</v>
      </c>
      <c r="K10" s="47">
        <f t="shared" si="1"/>
        <v>1.0416666666666666E-2</v>
      </c>
    </row>
    <row r="11" spans="1:11" x14ac:dyDescent="0.25">
      <c r="A11" t="s">
        <v>65</v>
      </c>
      <c r="B11" s="46">
        <f>SUM(B3:B10)</f>
        <v>0</v>
      </c>
      <c r="C11" s="46">
        <f t="shared" ref="C11:I11" si="2">SUM(C3:C10)</f>
        <v>20</v>
      </c>
      <c r="D11" s="46">
        <f t="shared" si="2"/>
        <v>62</v>
      </c>
      <c r="E11" s="46">
        <f t="shared" si="2"/>
        <v>124</v>
      </c>
      <c r="F11" s="46">
        <f t="shared" si="2"/>
        <v>46</v>
      </c>
      <c r="G11" s="46">
        <f t="shared" si="2"/>
        <v>21</v>
      </c>
      <c r="H11" s="46">
        <f t="shared" si="2"/>
        <v>8</v>
      </c>
      <c r="I11" s="46">
        <f t="shared" si="2"/>
        <v>7</v>
      </c>
      <c r="J11" s="46">
        <f>SUM(J3:J10)</f>
        <v>288</v>
      </c>
    </row>
    <row r="12" spans="1:11" s="47" customFormat="1" x14ac:dyDescent="0.25">
      <c r="A12" s="47" t="s">
        <v>91</v>
      </c>
      <c r="B12" s="47">
        <f>B11/$J$11</f>
        <v>0</v>
      </c>
      <c r="C12" s="47">
        <f t="shared" ref="C12:I12" si="3">C11/$J$11</f>
        <v>6.9444444444444448E-2</v>
      </c>
      <c r="D12" s="47">
        <f t="shared" si="3"/>
        <v>0.21527777777777779</v>
      </c>
      <c r="E12" s="47">
        <f t="shared" si="3"/>
        <v>0.43055555555555558</v>
      </c>
      <c r="F12" s="47">
        <f t="shared" si="3"/>
        <v>0.15972222222222221</v>
      </c>
      <c r="G12" s="47">
        <f t="shared" si="3"/>
        <v>7.2916666666666671E-2</v>
      </c>
      <c r="H12" s="47">
        <f t="shared" si="3"/>
        <v>2.7777777777777776E-2</v>
      </c>
      <c r="I12" s="47">
        <f t="shared" si="3"/>
        <v>2.4305555555555556E-2</v>
      </c>
      <c r="J12" s="47">
        <f>SUM(B12:I12)</f>
        <v>1</v>
      </c>
    </row>
    <row r="13" spans="1:11" x14ac:dyDescent="0.25">
      <c r="A13" t="s">
        <v>88</v>
      </c>
      <c r="B13" t="s">
        <v>64</v>
      </c>
      <c r="C13" t="s">
        <v>63</v>
      </c>
      <c r="D13" t="s">
        <v>62</v>
      </c>
      <c r="E13" t="s">
        <v>60</v>
      </c>
      <c r="F13" t="s">
        <v>59</v>
      </c>
      <c r="G13" t="s">
        <v>57</v>
      </c>
      <c r="H13" t="s">
        <v>89</v>
      </c>
      <c r="I13" t="s">
        <v>55</v>
      </c>
    </row>
    <row r="14" spans="1:11" x14ac:dyDescent="0.25">
      <c r="A14" t="s">
        <v>108</v>
      </c>
    </row>
    <row r="15" spans="1:11" x14ac:dyDescent="0.25">
      <c r="A15" t="s">
        <v>61</v>
      </c>
    </row>
    <row r="16" spans="1:11" x14ac:dyDescent="0.25">
      <c r="A16" t="s">
        <v>55</v>
      </c>
      <c r="B16" s="47">
        <f t="shared" ref="B16:I23" si="4">B3/$J$11</f>
        <v>0</v>
      </c>
      <c r="C16" s="47">
        <f t="shared" si="4"/>
        <v>3.472222222222222E-3</v>
      </c>
      <c r="D16" s="47">
        <f t="shared" si="4"/>
        <v>1.0416666666666666E-2</v>
      </c>
      <c r="E16" s="47">
        <f t="shared" si="4"/>
        <v>6.9444444444444441E-3</v>
      </c>
      <c r="F16" s="47">
        <f t="shared" si="4"/>
        <v>0</v>
      </c>
      <c r="G16" s="47">
        <f t="shared" si="4"/>
        <v>3.472222222222222E-3</v>
      </c>
      <c r="H16" s="47">
        <f t="shared" si="4"/>
        <v>3.472222222222222E-3</v>
      </c>
      <c r="I16" s="47">
        <f t="shared" si="4"/>
        <v>1.7361111111111112E-2</v>
      </c>
      <c r="J16" s="48">
        <f>SUM(B16:I16)</f>
        <v>4.5138888888888888E-2</v>
      </c>
    </row>
    <row r="17" spans="1:17" x14ac:dyDescent="0.25">
      <c r="A17" t="s">
        <v>56</v>
      </c>
      <c r="B17" s="47">
        <f t="shared" si="4"/>
        <v>0</v>
      </c>
      <c r="C17" s="47">
        <f t="shared" si="4"/>
        <v>3.472222222222222E-3</v>
      </c>
      <c r="D17" s="47">
        <f t="shared" si="4"/>
        <v>6.9444444444444441E-3</v>
      </c>
      <c r="E17" s="47">
        <f t="shared" si="4"/>
        <v>6.9444444444444441E-3</v>
      </c>
      <c r="F17" s="47">
        <f t="shared" si="4"/>
        <v>3.472222222222222E-3</v>
      </c>
      <c r="G17" s="47">
        <f t="shared" si="4"/>
        <v>6.9444444444444441E-3</v>
      </c>
      <c r="H17" s="47">
        <f t="shared" si="4"/>
        <v>0</v>
      </c>
      <c r="I17" s="47">
        <f t="shared" si="4"/>
        <v>3.472222222222222E-3</v>
      </c>
      <c r="J17" s="48">
        <f t="shared" ref="J17:J23" si="5">SUM(B17:I17)</f>
        <v>3.125E-2</v>
      </c>
    </row>
    <row r="18" spans="1:17" x14ac:dyDescent="0.25">
      <c r="A18" t="s">
        <v>57</v>
      </c>
      <c r="B18" s="47">
        <f t="shared" si="4"/>
        <v>0</v>
      </c>
      <c r="C18" s="47">
        <f t="shared" si="4"/>
        <v>0</v>
      </c>
      <c r="D18" s="47">
        <f t="shared" si="4"/>
        <v>3.8194444444444448E-2</v>
      </c>
      <c r="E18" s="47">
        <f t="shared" si="4"/>
        <v>5.9027777777777776E-2</v>
      </c>
      <c r="F18" s="47">
        <f t="shared" si="4"/>
        <v>6.9444444444444448E-2</v>
      </c>
      <c r="G18" s="47">
        <f t="shared" si="4"/>
        <v>2.4305555555555556E-2</v>
      </c>
      <c r="H18" s="47">
        <f t="shared" si="4"/>
        <v>0</v>
      </c>
      <c r="I18" s="47">
        <f t="shared" si="4"/>
        <v>0</v>
      </c>
      <c r="J18" s="48">
        <f t="shared" si="5"/>
        <v>0.19097222222222224</v>
      </c>
    </row>
    <row r="19" spans="1:17" x14ac:dyDescent="0.25">
      <c r="A19" t="s">
        <v>59</v>
      </c>
      <c r="B19" s="47">
        <f t="shared" si="4"/>
        <v>0</v>
      </c>
      <c r="C19" s="47">
        <f t="shared" si="4"/>
        <v>3.472222222222222E-3</v>
      </c>
      <c r="D19" s="47">
        <f t="shared" si="4"/>
        <v>1.7361111111111112E-2</v>
      </c>
      <c r="E19" s="47">
        <f t="shared" si="4"/>
        <v>0.11805555555555555</v>
      </c>
      <c r="F19" s="47">
        <f t="shared" si="4"/>
        <v>5.5555555555555552E-2</v>
      </c>
      <c r="G19" s="47">
        <f t="shared" si="4"/>
        <v>2.7777777777777776E-2</v>
      </c>
      <c r="H19" s="47">
        <f t="shared" si="4"/>
        <v>6.9444444444444441E-3</v>
      </c>
      <c r="I19" s="47">
        <f t="shared" si="4"/>
        <v>0</v>
      </c>
      <c r="J19" s="48">
        <f t="shared" si="5"/>
        <v>0.22916666666666666</v>
      </c>
    </row>
    <row r="20" spans="1:17" x14ac:dyDescent="0.25">
      <c r="A20" t="s">
        <v>60</v>
      </c>
      <c r="B20" s="47">
        <f t="shared" si="4"/>
        <v>0</v>
      </c>
      <c r="C20" s="47">
        <f t="shared" si="4"/>
        <v>1.7361111111111112E-2</v>
      </c>
      <c r="D20" s="47">
        <f t="shared" si="4"/>
        <v>6.25E-2</v>
      </c>
      <c r="E20" s="47">
        <f t="shared" si="4"/>
        <v>0.19097222222222221</v>
      </c>
      <c r="F20" s="47">
        <f t="shared" si="4"/>
        <v>3.125E-2</v>
      </c>
      <c r="G20" s="47">
        <f t="shared" si="4"/>
        <v>3.472222222222222E-3</v>
      </c>
      <c r="H20" s="47">
        <f t="shared" si="4"/>
        <v>1.3888888888888888E-2</v>
      </c>
      <c r="I20" s="47">
        <f t="shared" si="4"/>
        <v>0</v>
      </c>
      <c r="J20" s="48">
        <f t="shared" si="5"/>
        <v>0.31944444444444442</v>
      </c>
    </row>
    <row r="21" spans="1:17" x14ac:dyDescent="0.25">
      <c r="A21" t="s">
        <v>62</v>
      </c>
      <c r="B21" s="47">
        <f t="shared" si="4"/>
        <v>0</v>
      </c>
      <c r="C21" s="47">
        <f t="shared" si="4"/>
        <v>6.9444444444444441E-3</v>
      </c>
      <c r="D21" s="47">
        <f t="shared" si="4"/>
        <v>5.5555555555555552E-2</v>
      </c>
      <c r="E21" s="47">
        <f t="shared" si="4"/>
        <v>3.4722222222222224E-2</v>
      </c>
      <c r="F21" s="47">
        <f t="shared" si="4"/>
        <v>0</v>
      </c>
      <c r="G21" s="47">
        <f t="shared" si="4"/>
        <v>3.472222222222222E-3</v>
      </c>
      <c r="H21" s="47">
        <f t="shared" si="4"/>
        <v>0</v>
      </c>
      <c r="I21" s="47">
        <f t="shared" si="4"/>
        <v>0</v>
      </c>
      <c r="J21" s="48">
        <f t="shared" si="5"/>
        <v>0.10069444444444445</v>
      </c>
    </row>
    <row r="22" spans="1:17" x14ac:dyDescent="0.25">
      <c r="A22" t="s">
        <v>63</v>
      </c>
      <c r="B22" s="47">
        <f t="shared" si="4"/>
        <v>0</v>
      </c>
      <c r="C22" s="47">
        <f t="shared" si="4"/>
        <v>3.125E-2</v>
      </c>
      <c r="D22" s="47">
        <f t="shared" si="4"/>
        <v>2.4305555555555556E-2</v>
      </c>
      <c r="E22" s="47">
        <f t="shared" si="4"/>
        <v>1.3888888888888888E-2</v>
      </c>
      <c r="F22" s="47">
        <f t="shared" si="4"/>
        <v>0</v>
      </c>
      <c r="G22" s="47">
        <f t="shared" si="4"/>
        <v>3.472222222222222E-3</v>
      </c>
      <c r="H22" s="47">
        <f t="shared" si="4"/>
        <v>0</v>
      </c>
      <c r="I22" s="47">
        <f t="shared" si="4"/>
        <v>0</v>
      </c>
      <c r="J22" s="48">
        <f t="shared" si="5"/>
        <v>7.2916666666666671E-2</v>
      </c>
    </row>
    <row r="23" spans="1:17" x14ac:dyDescent="0.25">
      <c r="A23" t="s">
        <v>64</v>
      </c>
      <c r="B23" s="47">
        <f t="shared" si="4"/>
        <v>0</v>
      </c>
      <c r="C23" s="47">
        <f t="shared" si="4"/>
        <v>3.472222222222222E-3</v>
      </c>
      <c r="D23" s="47">
        <f t="shared" si="4"/>
        <v>0</v>
      </c>
      <c r="E23" s="47">
        <f t="shared" si="4"/>
        <v>0</v>
      </c>
      <c r="F23" s="47">
        <f t="shared" si="4"/>
        <v>0</v>
      </c>
      <c r="G23" s="47">
        <f t="shared" si="4"/>
        <v>0</v>
      </c>
      <c r="H23" s="47">
        <f t="shared" si="4"/>
        <v>3.472222222222222E-3</v>
      </c>
      <c r="I23" s="47">
        <f t="shared" si="4"/>
        <v>3.472222222222222E-3</v>
      </c>
      <c r="J23" s="48">
        <f t="shared" si="5"/>
        <v>1.0416666666666666E-2</v>
      </c>
    </row>
    <row r="24" spans="1:17" x14ac:dyDescent="0.25">
      <c r="A24" t="s">
        <v>91</v>
      </c>
      <c r="B24" s="48">
        <f>SUM(B16:B23)</f>
        <v>0</v>
      </c>
      <c r="C24" s="48">
        <f t="shared" ref="C24:I24" si="6">SUM(C16:C23)</f>
        <v>6.9444444444444448E-2</v>
      </c>
      <c r="D24" s="48">
        <f t="shared" si="6"/>
        <v>0.21527777777777779</v>
      </c>
      <c r="E24" s="48">
        <f t="shared" si="6"/>
        <v>0.43055555555555552</v>
      </c>
      <c r="F24" s="48">
        <f t="shared" si="6"/>
        <v>0.15972222222222221</v>
      </c>
      <c r="G24" s="48">
        <f t="shared" si="6"/>
        <v>7.2916666666666671E-2</v>
      </c>
      <c r="H24" s="48">
        <f t="shared" si="6"/>
        <v>2.7777777777777776E-2</v>
      </c>
      <c r="I24" s="48">
        <f t="shared" si="6"/>
        <v>2.4305555555555559E-2</v>
      </c>
      <c r="J24" s="48">
        <f>SUM(B24:I24)</f>
        <v>0.99999999999999989</v>
      </c>
    </row>
    <row r="25" spans="1:17" x14ac:dyDescent="0.25">
      <c r="A25" t="s">
        <v>88</v>
      </c>
      <c r="B25" t="s">
        <v>64</v>
      </c>
      <c r="C25" t="s">
        <v>63</v>
      </c>
      <c r="D25" t="s">
        <v>62</v>
      </c>
      <c r="E25" t="s">
        <v>60</v>
      </c>
      <c r="F25" t="s">
        <v>59</v>
      </c>
      <c r="G25" t="s">
        <v>57</v>
      </c>
      <c r="H25" t="s">
        <v>89</v>
      </c>
      <c r="I25" t="s">
        <v>55</v>
      </c>
    </row>
    <row r="27" spans="1:17" x14ac:dyDescent="0.25">
      <c r="A27" t="s">
        <v>103</v>
      </c>
      <c r="G27" t="s">
        <v>104</v>
      </c>
    </row>
    <row r="28" spans="1:17" x14ac:dyDescent="0.25">
      <c r="A28" t="s">
        <v>67</v>
      </c>
      <c r="B28" t="s">
        <v>68</v>
      </c>
      <c r="C28" s="47" t="s">
        <v>69</v>
      </c>
      <c r="D28" t="s">
        <v>70</v>
      </c>
      <c r="E28" s="47" t="s">
        <v>69</v>
      </c>
      <c r="G28" t="s">
        <v>102</v>
      </c>
      <c r="H28" t="s">
        <v>68</v>
      </c>
      <c r="I28" s="47" t="s">
        <v>69</v>
      </c>
      <c r="J28" t="s">
        <v>70</v>
      </c>
      <c r="K28" s="47" t="s">
        <v>69</v>
      </c>
      <c r="N28" t="s">
        <v>68</v>
      </c>
      <c r="O28" s="47" t="s">
        <v>69</v>
      </c>
      <c r="P28" t="s">
        <v>70</v>
      </c>
      <c r="Q28" s="47" t="s">
        <v>69</v>
      </c>
    </row>
    <row r="29" spans="1:17" x14ac:dyDescent="0.25">
      <c r="A29" t="s">
        <v>71</v>
      </c>
      <c r="B29">
        <f>J11</f>
        <v>288</v>
      </c>
      <c r="C29" s="47">
        <f>B29/B29</f>
        <v>1</v>
      </c>
      <c r="D29">
        <v>64</v>
      </c>
      <c r="E29" s="47">
        <f>D29/D29</f>
        <v>1</v>
      </c>
      <c r="G29" t="s">
        <v>71</v>
      </c>
      <c r="H29">
        <f>J11</f>
        <v>288</v>
      </c>
      <c r="I29" s="47">
        <f t="shared" ref="I29:I39" si="7">H29/$H$29</f>
        <v>1</v>
      </c>
      <c r="J29">
        <v>64</v>
      </c>
      <c r="K29" s="47">
        <f>J29/J29</f>
        <v>1</v>
      </c>
      <c r="M29" t="s">
        <v>197</v>
      </c>
      <c r="N29">
        <v>360</v>
      </c>
      <c r="O29" s="47">
        <v>1</v>
      </c>
      <c r="P29">
        <v>64</v>
      </c>
      <c r="Q29" s="47">
        <v>1</v>
      </c>
    </row>
    <row r="30" spans="1:17" x14ac:dyDescent="0.25">
      <c r="A30" t="s">
        <v>66</v>
      </c>
      <c r="B30">
        <f>B3+C3+B4</f>
        <v>1</v>
      </c>
      <c r="C30" s="47">
        <f t="shared" ref="C30:C39" si="8">B30/B$29</f>
        <v>3.472222222222222E-3</v>
      </c>
      <c r="D30">
        <v>3</v>
      </c>
      <c r="E30" s="47">
        <f t="shared" ref="E30:E39" si="9">D30/D$29</f>
        <v>4.6875E-2</v>
      </c>
      <c r="G30" t="s">
        <v>116</v>
      </c>
      <c r="H30">
        <f>B3</f>
        <v>0</v>
      </c>
      <c r="I30" s="47">
        <f t="shared" si="7"/>
        <v>0</v>
      </c>
      <c r="J30">
        <v>1</v>
      </c>
      <c r="K30" s="47">
        <f t="shared" ref="K30:K39" si="10">J30/J$29</f>
        <v>1.5625E-2</v>
      </c>
      <c r="O30" s="47"/>
      <c r="Q30" s="47"/>
    </row>
    <row r="31" spans="1:17" x14ac:dyDescent="0.25">
      <c r="A31" t="s">
        <v>72</v>
      </c>
      <c r="B31">
        <f>B3+B4+C3+C4+C5+D4+D5+D6+E5+E6+E7+F6</f>
        <v>142</v>
      </c>
      <c r="C31" s="47">
        <f t="shared" si="8"/>
        <v>0.49305555555555558</v>
      </c>
      <c r="D31">
        <v>12</v>
      </c>
      <c r="E31" s="47">
        <f t="shared" si="9"/>
        <v>0.1875</v>
      </c>
      <c r="G31" t="s">
        <v>117</v>
      </c>
      <c r="H31">
        <f>B3+C4+D5+E6</f>
        <v>46</v>
      </c>
      <c r="I31" s="47">
        <f t="shared" si="7"/>
        <v>0.15972222222222221</v>
      </c>
      <c r="J31">
        <v>4</v>
      </c>
      <c r="K31" s="47">
        <f t="shared" si="10"/>
        <v>6.25E-2</v>
      </c>
      <c r="O31" s="47"/>
      <c r="Q31" s="47"/>
    </row>
    <row r="32" spans="1:17" x14ac:dyDescent="0.25">
      <c r="A32" t="s">
        <v>73</v>
      </c>
      <c r="B32">
        <f>SUM(B3:B7, C3:C7, D3:D7, E3:E7, F3:F6)</f>
        <v>194</v>
      </c>
      <c r="C32" s="47">
        <f t="shared" si="8"/>
        <v>0.67361111111111116</v>
      </c>
      <c r="D32">
        <v>24</v>
      </c>
      <c r="E32" s="47">
        <f t="shared" si="9"/>
        <v>0.375</v>
      </c>
      <c r="G32" t="s">
        <v>118</v>
      </c>
      <c r="H32">
        <f>SUM(B3:B6) + SUM(C3:C6) + SUM(D3:D6) + SUM(E3:E6)</f>
        <v>79</v>
      </c>
      <c r="I32" s="47">
        <f t="shared" si="7"/>
        <v>0.27430555555555558</v>
      </c>
      <c r="J32">
        <v>16</v>
      </c>
      <c r="K32" s="47">
        <f t="shared" si="10"/>
        <v>0.25</v>
      </c>
      <c r="M32" t="s">
        <v>251</v>
      </c>
      <c r="N32">
        <f>H32-E6</f>
        <v>45</v>
      </c>
      <c r="O32" s="47">
        <f>N32/N29</f>
        <v>0.125</v>
      </c>
      <c r="P32">
        <v>15</v>
      </c>
      <c r="Q32" s="47">
        <f>P32/$P$29</f>
        <v>0.234375</v>
      </c>
    </row>
    <row r="33" spans="1:17" x14ac:dyDescent="0.25">
      <c r="A33" t="s">
        <v>74</v>
      </c>
      <c r="B33">
        <f>SUM(B3:B10, C3:C9, D3:D8, E3:E7, F3:F6, G3:G5, H3:H4, I3)</f>
        <v>237</v>
      </c>
      <c r="C33" s="47">
        <f t="shared" si="8"/>
        <v>0.82291666666666663</v>
      </c>
      <c r="D33">
        <v>36</v>
      </c>
      <c r="E33" s="47">
        <f t="shared" si="9"/>
        <v>0.5625</v>
      </c>
      <c r="G33" t="s">
        <v>119</v>
      </c>
      <c r="H33">
        <f>SUM(B3:B9)+SUM(C3:C8)+SUM(D3:D7)+SUM(E3:E6)+SUM(F3:F5)+SUM(G3:G4)+H3</f>
        <v>129</v>
      </c>
      <c r="I33" s="47">
        <f t="shared" si="7"/>
        <v>0.44791666666666669</v>
      </c>
      <c r="J33">
        <v>28</v>
      </c>
      <c r="K33" s="47">
        <f t="shared" si="10"/>
        <v>0.4375</v>
      </c>
      <c r="M33" t="s">
        <v>252</v>
      </c>
      <c r="N33">
        <f>H33-E6</f>
        <v>95</v>
      </c>
      <c r="O33" s="47">
        <f>N33/N29</f>
        <v>0.2638888888888889</v>
      </c>
      <c r="P33">
        <v>27</v>
      </c>
      <c r="Q33" s="47">
        <f>P33/$P$29</f>
        <v>0.421875</v>
      </c>
    </row>
    <row r="34" spans="1:17" x14ac:dyDescent="0.25">
      <c r="A34" t="s">
        <v>75</v>
      </c>
      <c r="B34">
        <f>SUM(B9:B10, C8:C10, D7:D9, E6:E8, F5:F7, G4:G6, H3:H5, I3:I4)</f>
        <v>221</v>
      </c>
      <c r="C34" s="47">
        <f t="shared" si="8"/>
        <v>0.76736111111111116</v>
      </c>
      <c r="D34">
        <v>22</v>
      </c>
      <c r="E34" s="47">
        <f t="shared" si="9"/>
        <v>0.34375</v>
      </c>
      <c r="G34" t="s">
        <v>120</v>
      </c>
      <c r="H34">
        <f>B10+C9+D8+E7+F6+G5+H4+I3+E6+F7</f>
        <v>151</v>
      </c>
      <c r="I34" s="47">
        <f t="shared" si="7"/>
        <v>0.52430555555555558</v>
      </c>
      <c r="J34">
        <v>10</v>
      </c>
      <c r="K34" s="47">
        <f t="shared" si="10"/>
        <v>0.15625</v>
      </c>
      <c r="O34" s="47"/>
      <c r="Q34" s="47"/>
    </row>
    <row r="35" spans="1:17" x14ac:dyDescent="0.25">
      <c r="A35" t="s">
        <v>76</v>
      </c>
      <c r="B35">
        <f>SUM(E6:E7, F6:F7)</f>
        <v>114</v>
      </c>
      <c r="C35" s="47">
        <f t="shared" si="8"/>
        <v>0.39583333333333331</v>
      </c>
      <c r="D35">
        <v>4</v>
      </c>
      <c r="E35" s="47">
        <f t="shared" si="9"/>
        <v>6.25E-2</v>
      </c>
      <c r="G35" t="s">
        <v>121</v>
      </c>
      <c r="H35">
        <f>E7+F6</f>
        <v>71</v>
      </c>
      <c r="I35" s="47">
        <f t="shared" si="7"/>
        <v>0.24652777777777779</v>
      </c>
      <c r="J35">
        <v>2</v>
      </c>
      <c r="K35" s="47">
        <f t="shared" si="10"/>
        <v>3.125E-2</v>
      </c>
      <c r="O35" s="47"/>
      <c r="Q35" s="47"/>
    </row>
    <row r="36" spans="1:17" x14ac:dyDescent="0.25">
      <c r="A36" t="s">
        <v>200</v>
      </c>
      <c r="B36">
        <f>I10</f>
        <v>1</v>
      </c>
      <c r="C36" s="47">
        <f t="shared" si="8"/>
        <v>3.472222222222222E-3</v>
      </c>
      <c r="D36">
        <v>3</v>
      </c>
      <c r="E36" s="47">
        <f t="shared" si="9"/>
        <v>4.6875E-2</v>
      </c>
      <c r="G36" t="s">
        <v>198</v>
      </c>
      <c r="H36">
        <f>I10</f>
        <v>1</v>
      </c>
      <c r="I36" s="47">
        <f t="shared" si="7"/>
        <v>3.472222222222222E-3</v>
      </c>
      <c r="J36">
        <v>1</v>
      </c>
      <c r="K36" s="47">
        <f t="shared" si="10"/>
        <v>1.5625E-2</v>
      </c>
      <c r="O36" s="47"/>
      <c r="Q36" s="47"/>
    </row>
    <row r="37" spans="1:17" x14ac:dyDescent="0.25">
      <c r="A37" t="s">
        <v>134</v>
      </c>
      <c r="B37">
        <f>SUM(I9:I10,H8:H10, G7:G9, F6:F8,E7)</f>
        <v>85</v>
      </c>
      <c r="C37" s="47">
        <f t="shared" si="8"/>
        <v>0.2951388888888889</v>
      </c>
      <c r="D37">
        <v>12</v>
      </c>
      <c r="E37" s="47">
        <f t="shared" si="9"/>
        <v>0.1875</v>
      </c>
      <c r="G37" t="s">
        <v>1</v>
      </c>
      <c r="H37">
        <f>I10+H9+G8+F7</f>
        <v>11</v>
      </c>
      <c r="I37" s="47">
        <f t="shared" si="7"/>
        <v>3.8194444444444448E-2</v>
      </c>
      <c r="J37">
        <v>4</v>
      </c>
      <c r="K37" s="47">
        <f t="shared" si="10"/>
        <v>6.25E-2</v>
      </c>
      <c r="O37" s="47"/>
      <c r="Q37" s="47"/>
    </row>
    <row r="38" spans="1:17" x14ac:dyDescent="0.25">
      <c r="A38" t="s">
        <v>135</v>
      </c>
      <c r="B38">
        <f>SUM(E10:I10, E9:I9, E8:I8, E7:I7, F6:I6)</f>
        <v>113</v>
      </c>
      <c r="C38" s="47">
        <f t="shared" si="8"/>
        <v>0.3923611111111111</v>
      </c>
      <c r="D38">
        <v>24</v>
      </c>
      <c r="E38" s="47">
        <f t="shared" si="9"/>
        <v>0.375</v>
      </c>
      <c r="G38" t="s">
        <v>137</v>
      </c>
      <c r="H38">
        <f>SUM(F10:I10, F9:I9, F8:I8, F7:I7)</f>
        <v>18</v>
      </c>
      <c r="I38" s="47">
        <f t="shared" si="7"/>
        <v>6.25E-2</v>
      </c>
      <c r="J38">
        <v>16</v>
      </c>
      <c r="K38" s="47">
        <f t="shared" si="10"/>
        <v>0.25</v>
      </c>
      <c r="M38" t="s">
        <v>253</v>
      </c>
      <c r="N38">
        <f>H38-F7</f>
        <v>9</v>
      </c>
      <c r="O38" s="47">
        <f>N38/N29</f>
        <v>2.5000000000000001E-2</v>
      </c>
      <c r="P38">
        <v>15</v>
      </c>
      <c r="Q38" s="47">
        <f t="shared" ref="Q38:Q39" si="11">P38/$P$29</f>
        <v>0.234375</v>
      </c>
    </row>
    <row r="39" spans="1:17" x14ac:dyDescent="0.25">
      <c r="A39" t="s">
        <v>136</v>
      </c>
      <c r="B39">
        <f>SUM(B10:I10, C9:I9, D8:I8, E7:I7, F6:I6, G5:I5, H4:I4, I3)</f>
        <v>159</v>
      </c>
      <c r="C39" s="47">
        <f t="shared" si="8"/>
        <v>0.55208333333333337</v>
      </c>
      <c r="D39">
        <v>36</v>
      </c>
      <c r="E39" s="47">
        <f t="shared" si="9"/>
        <v>0.5625</v>
      </c>
      <c r="G39" t="s">
        <v>138</v>
      </c>
      <c r="H39">
        <f>SUM(C10:I10, D9:I9, E8:I8, F7:I7,G6:I6, H5:I5, I4)</f>
        <v>51</v>
      </c>
      <c r="I39" s="47">
        <f t="shared" si="7"/>
        <v>0.17708333333333334</v>
      </c>
      <c r="J39">
        <v>28</v>
      </c>
      <c r="K39" s="47">
        <f t="shared" si="10"/>
        <v>0.4375</v>
      </c>
      <c r="M39" t="s">
        <v>254</v>
      </c>
      <c r="N39">
        <f>H39-F7</f>
        <v>42</v>
      </c>
      <c r="O39" s="47">
        <f>N39/N29</f>
        <v>0.11666666666666667</v>
      </c>
      <c r="P39">
        <v>27</v>
      </c>
      <c r="Q39" s="47">
        <f t="shared" si="11"/>
        <v>0.421875</v>
      </c>
    </row>
    <row r="40" spans="1:17" x14ac:dyDescent="0.25">
      <c r="C40" s="47"/>
      <c r="E40" s="47"/>
      <c r="I40" s="47"/>
    </row>
    <row r="41" spans="1:17" x14ac:dyDescent="0.25">
      <c r="A41" t="s">
        <v>124</v>
      </c>
      <c r="B41">
        <f>B29-B35</f>
        <v>174</v>
      </c>
      <c r="C41" s="47">
        <v>1</v>
      </c>
      <c r="D41">
        <v>60</v>
      </c>
      <c r="E41" s="47">
        <v>1</v>
      </c>
      <c r="G41" t="s">
        <v>125</v>
      </c>
      <c r="H41">
        <f>H29-H35</f>
        <v>217</v>
      </c>
      <c r="I41" s="47">
        <v>1</v>
      </c>
      <c r="J41">
        <v>62</v>
      </c>
      <c r="K41" s="47">
        <v>1</v>
      </c>
    </row>
    <row r="42" spans="1:17" x14ac:dyDescent="0.25">
      <c r="A42" t="s">
        <v>80</v>
      </c>
      <c r="B42">
        <f>B34-B35</f>
        <v>107</v>
      </c>
      <c r="C42" s="47">
        <f>B42/B$41</f>
        <v>0.61494252873563215</v>
      </c>
      <c r="D42">
        <v>18</v>
      </c>
      <c r="E42" s="47">
        <f>D42/D$41</f>
        <v>0.3</v>
      </c>
      <c r="G42" t="s">
        <v>122</v>
      </c>
      <c r="H42">
        <f>H34-E7-F6</f>
        <v>80</v>
      </c>
      <c r="I42" s="47">
        <f>H42/$H$41</f>
        <v>0.3686635944700461</v>
      </c>
      <c r="J42">
        <v>6</v>
      </c>
      <c r="K42" s="47">
        <f>J42/J$41</f>
        <v>9.6774193548387094E-2</v>
      </c>
    </row>
    <row r="43" spans="1:17" x14ac:dyDescent="0.25">
      <c r="C43" s="47"/>
      <c r="E43" s="47"/>
      <c r="I43" s="47"/>
    </row>
    <row r="44" spans="1:17" x14ac:dyDescent="0.25">
      <c r="A44" t="s">
        <v>81</v>
      </c>
      <c r="B44">
        <f>B29-B34</f>
        <v>67</v>
      </c>
      <c r="C44" s="47">
        <f t="shared" ref="C44:C52" si="12">B44/B$44</f>
        <v>1</v>
      </c>
      <c r="D44">
        <v>42</v>
      </c>
      <c r="E44" s="47">
        <f t="shared" ref="E44:E52" si="13">D44/D$44</f>
        <v>1</v>
      </c>
      <c r="G44" t="s">
        <v>129</v>
      </c>
      <c r="H44">
        <f>H29-H34</f>
        <v>137</v>
      </c>
      <c r="I44" s="47">
        <f>H44/H$44</f>
        <v>1</v>
      </c>
      <c r="J44">
        <f>J29-J34</f>
        <v>54</v>
      </c>
      <c r="K44" s="47">
        <f t="shared" ref="K44:K52" si="14">J44/J$44</f>
        <v>1</v>
      </c>
    </row>
    <row r="45" spans="1:17" x14ac:dyDescent="0.25">
      <c r="A45" t="s">
        <v>82</v>
      </c>
      <c r="B45">
        <f>B30</f>
        <v>1</v>
      </c>
      <c r="C45" s="47">
        <f t="shared" si="12"/>
        <v>1.4925373134328358E-2</v>
      </c>
      <c r="D45">
        <v>3</v>
      </c>
      <c r="E45" s="47">
        <f t="shared" si="13"/>
        <v>7.1428571428571425E-2</v>
      </c>
      <c r="G45" t="s">
        <v>130</v>
      </c>
      <c r="H45">
        <f>H30</f>
        <v>0</v>
      </c>
      <c r="I45" s="47">
        <f>H45/H$44</f>
        <v>0</v>
      </c>
      <c r="J45">
        <v>1</v>
      </c>
      <c r="K45" s="47">
        <f t="shared" si="14"/>
        <v>1.8518518518518517E-2</v>
      </c>
    </row>
    <row r="46" spans="1:17" x14ac:dyDescent="0.25">
      <c r="A46" t="s">
        <v>77</v>
      </c>
      <c r="B46">
        <f>B31-(SUM(E6:E7,F6))</f>
        <v>37</v>
      </c>
      <c r="C46" s="47">
        <f t="shared" si="12"/>
        <v>0.55223880597014929</v>
      </c>
      <c r="D46">
        <v>9</v>
      </c>
      <c r="E46" s="47">
        <f t="shared" si="13"/>
        <v>0.21428571428571427</v>
      </c>
      <c r="G46" t="s">
        <v>131</v>
      </c>
      <c r="H46">
        <f>H31</f>
        <v>46</v>
      </c>
      <c r="I46" s="47">
        <f>H46/H$44</f>
        <v>0.33576642335766421</v>
      </c>
      <c r="J46">
        <v>4</v>
      </c>
      <c r="K46" s="47">
        <f t="shared" si="14"/>
        <v>7.407407407407407E-2</v>
      </c>
    </row>
    <row r="47" spans="1:17" x14ac:dyDescent="0.25">
      <c r="A47" t="s">
        <v>78</v>
      </c>
      <c r="B47">
        <f>$B$32-SUM($D$7, $E$6:E$7, $F$5:$F$6)</f>
        <v>51</v>
      </c>
      <c r="C47" s="47">
        <f t="shared" si="12"/>
        <v>0.76119402985074625</v>
      </c>
      <c r="D47">
        <v>19</v>
      </c>
      <c r="E47" s="47">
        <f t="shared" si="13"/>
        <v>0.45238095238095238</v>
      </c>
      <c r="G47" t="s">
        <v>132</v>
      </c>
      <c r="H47">
        <f>H32</f>
        <v>79</v>
      </c>
      <c r="I47" s="47">
        <f t="shared" ref="I47:I52" si="15">H47/H$44</f>
        <v>0.57664233576642332</v>
      </c>
      <c r="J47">
        <v>16</v>
      </c>
      <c r="K47" s="47">
        <f t="shared" si="14"/>
        <v>0.29629629629629628</v>
      </c>
    </row>
    <row r="48" spans="1:17" x14ac:dyDescent="0.25">
      <c r="A48" t="s">
        <v>79</v>
      </c>
      <c r="B48">
        <f>B$33-SUM(B$9:B$10, C$8:C$9, D$7:D$8, E$6:E$7, F$5:F$6, G$4:G$5, H$3:H$4, I$3)</f>
        <v>52</v>
      </c>
      <c r="C48" s="47">
        <f t="shared" si="12"/>
        <v>0.77611940298507465</v>
      </c>
      <c r="D48">
        <v>21</v>
      </c>
      <c r="E48" s="47">
        <f t="shared" si="13"/>
        <v>0.5</v>
      </c>
      <c r="G48" t="s">
        <v>133</v>
      </c>
      <c r="H48">
        <f>H33</f>
        <v>129</v>
      </c>
      <c r="I48" s="47">
        <f t="shared" si="15"/>
        <v>0.94160583941605835</v>
      </c>
      <c r="J48">
        <v>28</v>
      </c>
      <c r="K48" s="47">
        <f t="shared" si="14"/>
        <v>0.51851851851851849</v>
      </c>
    </row>
    <row r="49" spans="1:11" x14ac:dyDescent="0.25">
      <c r="A49" t="s">
        <v>201</v>
      </c>
      <c r="B49">
        <f>B36</f>
        <v>1</v>
      </c>
      <c r="C49" s="47">
        <f t="shared" si="12"/>
        <v>1.4925373134328358E-2</v>
      </c>
      <c r="D49">
        <v>3</v>
      </c>
      <c r="E49" s="47">
        <f t="shared" si="13"/>
        <v>7.1428571428571425E-2</v>
      </c>
      <c r="G49" t="s">
        <v>199</v>
      </c>
      <c r="H49">
        <v>0</v>
      </c>
      <c r="I49" s="47">
        <f t="shared" si="15"/>
        <v>0</v>
      </c>
      <c r="J49">
        <v>1</v>
      </c>
      <c r="K49" s="47">
        <f t="shared" si="14"/>
        <v>1.8518518518518517E-2</v>
      </c>
    </row>
    <row r="50" spans="1:11" x14ac:dyDescent="0.25">
      <c r="A50" t="s">
        <v>139</v>
      </c>
      <c r="B50">
        <f>B37-SUM(F6:F7,E7)</f>
        <v>5</v>
      </c>
      <c r="C50" s="47">
        <f t="shared" si="12"/>
        <v>7.4626865671641784E-2</v>
      </c>
      <c r="D50">
        <v>9</v>
      </c>
      <c r="E50" s="47">
        <f t="shared" si="13"/>
        <v>0.21428571428571427</v>
      </c>
      <c r="G50" t="s">
        <v>0</v>
      </c>
      <c r="H50">
        <f>I10+H9+G8+F7</f>
        <v>11</v>
      </c>
      <c r="I50" s="47">
        <f t="shared" si="15"/>
        <v>8.0291970802919707E-2</v>
      </c>
      <c r="J50">
        <v>4</v>
      </c>
      <c r="K50" s="47">
        <f t="shared" si="14"/>
        <v>7.407407407407407E-2</v>
      </c>
    </row>
    <row r="51" spans="1:11" x14ac:dyDescent="0.25">
      <c r="A51" t="s">
        <v>140</v>
      </c>
      <c r="B51">
        <f>SUM(E10:I10, E9:I9, F8:I8, G7:I7, H6:I6)</f>
        <v>15</v>
      </c>
      <c r="C51" s="47">
        <f t="shared" si="12"/>
        <v>0.22388059701492538</v>
      </c>
      <c r="D51">
        <v>19</v>
      </c>
      <c r="E51" s="47">
        <f t="shared" si="13"/>
        <v>0.45238095238095238</v>
      </c>
      <c r="G51" t="s">
        <v>143</v>
      </c>
      <c r="H51">
        <f>SUM(F7:I10)</f>
        <v>18</v>
      </c>
      <c r="I51" s="47">
        <f t="shared" si="15"/>
        <v>0.13138686131386862</v>
      </c>
      <c r="J51">
        <v>16</v>
      </c>
      <c r="K51" s="47">
        <f t="shared" si="14"/>
        <v>0.29629629629629628</v>
      </c>
    </row>
    <row r="52" spans="1:11" x14ac:dyDescent="0.25">
      <c r="A52" t="s">
        <v>141</v>
      </c>
      <c r="B52">
        <f>SUM(D10:I10, E9:I9, F8:I8, G7:I7, H6:I6, I5)</f>
        <v>15</v>
      </c>
      <c r="C52" s="47">
        <f t="shared" si="12"/>
        <v>0.22388059701492538</v>
      </c>
      <c r="D52">
        <v>21</v>
      </c>
      <c r="E52" s="47">
        <f t="shared" si="13"/>
        <v>0.5</v>
      </c>
      <c r="G52" t="s">
        <v>144</v>
      </c>
      <c r="H52">
        <f>H39</f>
        <v>51</v>
      </c>
      <c r="I52" s="47">
        <f t="shared" si="15"/>
        <v>0.37226277372262773</v>
      </c>
      <c r="J52">
        <v>28</v>
      </c>
      <c r="K52" s="47">
        <f t="shared" si="14"/>
        <v>0.51851851851851849</v>
      </c>
    </row>
    <row r="53" spans="1:11" x14ac:dyDescent="0.25">
      <c r="C53" s="47"/>
      <c r="E53" s="47"/>
      <c r="I53" s="47"/>
    </row>
    <row r="54" spans="1:11" x14ac:dyDescent="0.25">
      <c r="A54" t="s">
        <v>196</v>
      </c>
      <c r="B54">
        <f>B29</f>
        <v>288</v>
      </c>
      <c r="C54" s="47">
        <v>1</v>
      </c>
      <c r="D54">
        <v>64</v>
      </c>
      <c r="E54" s="47">
        <v>100</v>
      </c>
      <c r="G54" t="s">
        <v>197</v>
      </c>
      <c r="H54">
        <v>360</v>
      </c>
      <c r="I54" s="47">
        <v>1</v>
      </c>
      <c r="J54">
        <v>64</v>
      </c>
      <c r="K54" s="47">
        <v>1</v>
      </c>
    </row>
    <row r="55" spans="1:11" x14ac:dyDescent="0.25">
      <c r="A55" t="s">
        <v>142</v>
      </c>
      <c r="B55">
        <f>B46</f>
        <v>37</v>
      </c>
      <c r="C55" s="47">
        <f>B55/B$54</f>
        <v>0.12847222222222221</v>
      </c>
      <c r="D55">
        <f>D46</f>
        <v>9</v>
      </c>
      <c r="E55" s="47">
        <f>D55/D$54</f>
        <v>0.140625</v>
      </c>
      <c r="G55" t="s">
        <v>131</v>
      </c>
      <c r="H55">
        <f>H46</f>
        <v>46</v>
      </c>
      <c r="I55" s="47">
        <f>H55/H$54</f>
        <v>0.12777777777777777</v>
      </c>
      <c r="J55">
        <f>J46</f>
        <v>4</v>
      </c>
      <c r="K55" s="47">
        <f>J55/J$54</f>
        <v>6.25E-2</v>
      </c>
    </row>
    <row r="56" spans="1:11" x14ac:dyDescent="0.25">
      <c r="A56" t="s">
        <v>78</v>
      </c>
      <c r="B56">
        <f t="shared" ref="B56:B61" si="16">B47</f>
        <v>51</v>
      </c>
      <c r="C56" s="47">
        <f t="shared" ref="C56:C61" si="17">B56/B$54</f>
        <v>0.17708333333333334</v>
      </c>
      <c r="D56">
        <f t="shared" ref="D56:D61" si="18">D47</f>
        <v>19</v>
      </c>
      <c r="E56" s="47">
        <f t="shared" ref="E56:E61" si="19">D56/D$54</f>
        <v>0.296875</v>
      </c>
      <c r="G56" t="s">
        <v>132</v>
      </c>
      <c r="H56">
        <f t="shared" ref="H56:H61" si="20">H47</f>
        <v>79</v>
      </c>
      <c r="I56" s="47">
        <f t="shared" ref="I56:I61" si="21">H56/H$54</f>
        <v>0.21944444444444444</v>
      </c>
      <c r="J56">
        <f t="shared" ref="J56:J61" si="22">J47</f>
        <v>16</v>
      </c>
      <c r="K56" s="47">
        <f t="shared" ref="K56:K61" si="23">J56/J$54</f>
        <v>0.25</v>
      </c>
    </row>
    <row r="57" spans="1:11" x14ac:dyDescent="0.25">
      <c r="A57" t="s">
        <v>79</v>
      </c>
      <c r="B57">
        <f t="shared" si="16"/>
        <v>52</v>
      </c>
      <c r="C57" s="47">
        <f t="shared" si="17"/>
        <v>0.18055555555555555</v>
      </c>
      <c r="D57">
        <f t="shared" si="18"/>
        <v>21</v>
      </c>
      <c r="E57" s="47">
        <f t="shared" si="19"/>
        <v>0.328125</v>
      </c>
      <c r="G57" t="s">
        <v>133</v>
      </c>
      <c r="H57">
        <f t="shared" si="20"/>
        <v>129</v>
      </c>
      <c r="I57" s="47">
        <f t="shared" si="21"/>
        <v>0.35833333333333334</v>
      </c>
      <c r="J57">
        <f t="shared" si="22"/>
        <v>28</v>
      </c>
      <c r="K57" s="47">
        <f t="shared" si="23"/>
        <v>0.4375</v>
      </c>
    </row>
    <row r="58" spans="1:11" x14ac:dyDescent="0.25">
      <c r="A58" t="s">
        <v>201</v>
      </c>
      <c r="B58">
        <f t="shared" si="16"/>
        <v>1</v>
      </c>
      <c r="C58" s="47">
        <f t="shared" si="17"/>
        <v>3.472222222222222E-3</v>
      </c>
      <c r="D58">
        <f t="shared" si="18"/>
        <v>3</v>
      </c>
      <c r="E58" s="47">
        <f t="shared" si="19"/>
        <v>4.6875E-2</v>
      </c>
      <c r="G58" t="s">
        <v>199</v>
      </c>
      <c r="H58">
        <f t="shared" si="20"/>
        <v>0</v>
      </c>
      <c r="I58" s="47">
        <f t="shared" si="21"/>
        <v>0</v>
      </c>
      <c r="J58">
        <f t="shared" si="22"/>
        <v>1</v>
      </c>
      <c r="K58" s="47">
        <f t="shared" si="23"/>
        <v>1.5625E-2</v>
      </c>
    </row>
    <row r="59" spans="1:11" x14ac:dyDescent="0.25">
      <c r="A59" t="s">
        <v>139</v>
      </c>
      <c r="B59">
        <f t="shared" si="16"/>
        <v>5</v>
      </c>
      <c r="C59" s="47">
        <f t="shared" si="17"/>
        <v>1.7361111111111112E-2</v>
      </c>
      <c r="D59">
        <f t="shared" si="18"/>
        <v>9</v>
      </c>
      <c r="E59" s="47">
        <f t="shared" si="19"/>
        <v>0.140625</v>
      </c>
      <c r="G59" t="s">
        <v>0</v>
      </c>
      <c r="H59">
        <f t="shared" si="20"/>
        <v>11</v>
      </c>
      <c r="I59" s="47">
        <f t="shared" si="21"/>
        <v>3.0555555555555555E-2</v>
      </c>
      <c r="J59">
        <f t="shared" si="22"/>
        <v>4</v>
      </c>
      <c r="K59" s="47">
        <f t="shared" si="23"/>
        <v>6.25E-2</v>
      </c>
    </row>
    <row r="60" spans="1:11" x14ac:dyDescent="0.25">
      <c r="A60" t="s">
        <v>140</v>
      </c>
      <c r="B60">
        <f t="shared" si="16"/>
        <v>15</v>
      </c>
      <c r="C60" s="47">
        <f t="shared" si="17"/>
        <v>5.2083333333333336E-2</v>
      </c>
      <c r="D60">
        <f t="shared" si="18"/>
        <v>19</v>
      </c>
      <c r="E60" s="47">
        <f t="shared" si="19"/>
        <v>0.296875</v>
      </c>
      <c r="G60" t="s">
        <v>143</v>
      </c>
      <c r="H60">
        <f t="shared" si="20"/>
        <v>18</v>
      </c>
      <c r="I60" s="47">
        <f t="shared" si="21"/>
        <v>0.05</v>
      </c>
      <c r="J60">
        <f t="shared" si="22"/>
        <v>16</v>
      </c>
      <c r="K60" s="47">
        <f t="shared" si="23"/>
        <v>0.25</v>
      </c>
    </row>
    <row r="61" spans="1:11" x14ac:dyDescent="0.25">
      <c r="A61" t="s">
        <v>141</v>
      </c>
      <c r="B61">
        <f t="shared" si="16"/>
        <v>15</v>
      </c>
      <c r="C61" s="47">
        <f t="shared" si="17"/>
        <v>5.2083333333333336E-2</v>
      </c>
      <c r="D61">
        <f t="shared" si="18"/>
        <v>21</v>
      </c>
      <c r="E61" s="47">
        <f t="shared" si="19"/>
        <v>0.328125</v>
      </c>
      <c r="G61" t="s">
        <v>144</v>
      </c>
      <c r="H61">
        <f t="shared" si="20"/>
        <v>51</v>
      </c>
      <c r="I61" s="47">
        <f t="shared" si="21"/>
        <v>0.14166666666666666</v>
      </c>
      <c r="J61">
        <f t="shared" si="22"/>
        <v>28</v>
      </c>
      <c r="K61" s="47">
        <f t="shared" si="23"/>
        <v>0.4375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topLeftCell="E1" zoomScaleNormal="100" workbookViewId="0">
      <selection activeCell="O1" sqref="O1"/>
    </sheetView>
  </sheetViews>
  <sheetFormatPr defaultColWidth="8.7109375" defaultRowHeight="15" x14ac:dyDescent="0.25"/>
  <cols>
    <col min="1" max="1" width="16.140625" customWidth="1"/>
    <col min="2" max="2" width="9.28515625" bestFit="1" customWidth="1"/>
    <col min="3" max="15" width="8.7109375" customWidth="1"/>
    <col min="16" max="16" width="11.5703125" customWidth="1"/>
  </cols>
  <sheetData>
    <row r="1" spans="1:38" x14ac:dyDescent="0.25">
      <c r="A1" s="1" t="s">
        <v>86</v>
      </c>
      <c r="J1" s="4" t="s">
        <v>58</v>
      </c>
      <c r="K1" s="4" t="s">
        <v>90</v>
      </c>
      <c r="M1" s="8"/>
      <c r="N1" s="7"/>
      <c r="O1" s="7"/>
      <c r="P1" s="7"/>
      <c r="Q1" s="7"/>
      <c r="R1" s="7"/>
      <c r="S1" s="7"/>
      <c r="T1" s="7"/>
      <c r="U1" s="7"/>
      <c r="V1" s="7"/>
      <c r="W1" s="7"/>
      <c r="X1" s="81"/>
      <c r="Y1" s="82"/>
      <c r="Z1" s="82"/>
      <c r="AA1" s="82"/>
      <c r="AB1" s="82"/>
      <c r="AC1" s="82"/>
      <c r="AD1" s="82"/>
      <c r="AE1" s="82"/>
      <c r="AF1" s="82"/>
      <c r="AG1" s="82"/>
      <c r="AH1" s="83"/>
      <c r="AI1" s="83"/>
      <c r="AJ1" s="83"/>
      <c r="AK1" s="83"/>
      <c r="AL1" s="83"/>
    </row>
    <row r="2" spans="1:38" x14ac:dyDescent="0.25">
      <c r="A2" s="1" t="s">
        <v>61</v>
      </c>
      <c r="J2" s="4"/>
      <c r="K2" s="4"/>
      <c r="M2" s="8"/>
      <c r="N2" s="7"/>
      <c r="O2" s="7"/>
      <c r="P2" s="7"/>
      <c r="Q2" s="7"/>
      <c r="R2" s="7"/>
      <c r="S2" s="7"/>
      <c r="T2" s="7"/>
      <c r="U2" s="7"/>
      <c r="V2" s="7"/>
      <c r="W2" s="7"/>
      <c r="X2" s="81"/>
      <c r="Y2" s="82"/>
      <c r="Z2" s="82"/>
      <c r="AA2" s="82"/>
      <c r="AB2" s="82"/>
      <c r="AC2" s="82"/>
      <c r="AD2" s="82"/>
      <c r="AE2" s="82"/>
      <c r="AF2" s="82"/>
      <c r="AG2" s="82"/>
      <c r="AH2" s="83"/>
      <c r="AI2" s="83"/>
      <c r="AJ2" s="86"/>
      <c r="AK2" s="86"/>
      <c r="AL2" s="86"/>
    </row>
    <row r="3" spans="1:38" x14ac:dyDescent="0.25">
      <c r="A3" s="2" t="s">
        <v>55</v>
      </c>
      <c r="B3">
        <v>1</v>
      </c>
      <c r="C3">
        <v>0</v>
      </c>
      <c r="D3">
        <v>10</v>
      </c>
      <c r="E3">
        <v>11</v>
      </c>
      <c r="F3">
        <v>6</v>
      </c>
      <c r="G3">
        <v>4</v>
      </c>
      <c r="H3">
        <v>2</v>
      </c>
      <c r="I3">
        <v>8</v>
      </c>
      <c r="J3" s="4">
        <f>SUM(B3:I3)</f>
        <v>42</v>
      </c>
      <c r="K3" s="12">
        <f>J3/J$11</f>
        <v>0.15441176470588236</v>
      </c>
      <c r="M3" s="87"/>
      <c r="N3" s="7"/>
      <c r="O3" s="7"/>
      <c r="P3" s="7"/>
      <c r="Q3" s="7"/>
      <c r="R3" s="7"/>
      <c r="S3" s="7"/>
      <c r="T3" s="7"/>
      <c r="U3" s="7"/>
      <c r="V3" s="7"/>
      <c r="W3" s="7"/>
      <c r="X3" s="84"/>
      <c r="Y3" s="82"/>
      <c r="Z3" s="82"/>
      <c r="AA3" s="82"/>
      <c r="AB3" s="82"/>
      <c r="AC3" s="82"/>
      <c r="AD3" s="82"/>
      <c r="AE3" s="82"/>
      <c r="AF3" s="82"/>
      <c r="AG3" s="82"/>
      <c r="AH3" s="83"/>
      <c r="AI3" s="83"/>
      <c r="AJ3" s="86"/>
      <c r="AK3" s="86"/>
      <c r="AL3" s="86"/>
    </row>
    <row r="4" spans="1:38" x14ac:dyDescent="0.25">
      <c r="A4" s="3" t="s">
        <v>56</v>
      </c>
      <c r="B4">
        <v>1</v>
      </c>
      <c r="C4">
        <v>1</v>
      </c>
      <c r="D4">
        <v>6</v>
      </c>
      <c r="E4">
        <v>9</v>
      </c>
      <c r="F4">
        <v>3</v>
      </c>
      <c r="G4">
        <v>4</v>
      </c>
      <c r="H4">
        <v>5</v>
      </c>
      <c r="I4">
        <v>8</v>
      </c>
      <c r="J4" s="4">
        <f t="shared" ref="J4:J10" si="0">SUM(B4:I4)</f>
        <v>37</v>
      </c>
      <c r="K4" s="12">
        <f t="shared" ref="K4:K10" si="1">J4/J$11</f>
        <v>0.13602941176470587</v>
      </c>
      <c r="M4" s="88"/>
      <c r="N4" s="7"/>
      <c r="O4" s="7"/>
      <c r="P4" s="7"/>
      <c r="Q4" s="7"/>
      <c r="R4" s="7"/>
      <c r="S4" s="7"/>
      <c r="T4" s="7"/>
      <c r="U4" s="7"/>
      <c r="V4" s="7"/>
      <c r="W4" s="7"/>
      <c r="X4" s="85"/>
      <c r="Y4" s="82"/>
      <c r="Z4" s="82"/>
      <c r="AA4" s="82"/>
      <c r="AB4" s="82"/>
      <c r="AC4" s="82"/>
      <c r="AD4" s="82"/>
      <c r="AE4" s="82"/>
      <c r="AF4" s="82"/>
      <c r="AG4" s="82"/>
      <c r="AH4" s="83"/>
      <c r="AI4" s="83"/>
      <c r="AJ4" s="86"/>
      <c r="AK4" s="86"/>
      <c r="AL4" s="86"/>
    </row>
    <row r="5" spans="1:38" x14ac:dyDescent="0.25">
      <c r="A5" t="s">
        <v>57</v>
      </c>
      <c r="B5">
        <v>0</v>
      </c>
      <c r="C5">
        <v>0</v>
      </c>
      <c r="D5">
        <v>4</v>
      </c>
      <c r="E5">
        <v>9</v>
      </c>
      <c r="F5">
        <v>2</v>
      </c>
      <c r="G5">
        <v>17</v>
      </c>
      <c r="H5">
        <v>3</v>
      </c>
      <c r="I5">
        <v>1</v>
      </c>
      <c r="J5" s="4">
        <f t="shared" si="0"/>
        <v>36</v>
      </c>
      <c r="K5" s="12">
        <f t="shared" si="1"/>
        <v>0.13235294117647059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3"/>
      <c r="AI5" s="83"/>
      <c r="AJ5" s="86"/>
      <c r="AK5" s="86"/>
      <c r="AL5" s="86"/>
    </row>
    <row r="6" spans="1:38" x14ac:dyDescent="0.25">
      <c r="A6" t="s">
        <v>59</v>
      </c>
      <c r="B6">
        <v>0</v>
      </c>
      <c r="C6">
        <v>0</v>
      </c>
      <c r="D6">
        <v>7</v>
      </c>
      <c r="E6">
        <v>28</v>
      </c>
      <c r="F6">
        <v>15</v>
      </c>
      <c r="G6">
        <v>6</v>
      </c>
      <c r="H6">
        <v>4</v>
      </c>
      <c r="I6">
        <v>2</v>
      </c>
      <c r="J6" s="4">
        <f t="shared" si="0"/>
        <v>62</v>
      </c>
      <c r="K6" s="12">
        <f t="shared" si="1"/>
        <v>0.22794117647058823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3"/>
      <c r="AI6" s="83"/>
      <c r="AJ6" s="86"/>
      <c r="AK6" s="86"/>
      <c r="AL6" s="86"/>
    </row>
    <row r="7" spans="1:38" x14ac:dyDescent="0.25">
      <c r="A7" t="s">
        <v>60</v>
      </c>
      <c r="B7">
        <v>0</v>
      </c>
      <c r="C7">
        <v>1</v>
      </c>
      <c r="D7">
        <v>5</v>
      </c>
      <c r="E7">
        <v>32</v>
      </c>
      <c r="F7">
        <v>10</v>
      </c>
      <c r="G7">
        <v>6</v>
      </c>
      <c r="H7">
        <v>3</v>
      </c>
      <c r="I7">
        <v>2</v>
      </c>
      <c r="J7" s="4">
        <f t="shared" si="0"/>
        <v>59</v>
      </c>
      <c r="K7" s="12">
        <f t="shared" si="1"/>
        <v>0.21691176470588236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3"/>
      <c r="AI7" s="83"/>
      <c r="AJ7" s="86"/>
      <c r="AK7" s="86"/>
      <c r="AL7" s="86"/>
    </row>
    <row r="8" spans="1:38" x14ac:dyDescent="0.25">
      <c r="A8" t="s">
        <v>62</v>
      </c>
      <c r="B8">
        <v>0</v>
      </c>
      <c r="C8">
        <v>0</v>
      </c>
      <c r="D8">
        <v>9</v>
      </c>
      <c r="E8">
        <v>8</v>
      </c>
      <c r="F8">
        <v>4</v>
      </c>
      <c r="G8">
        <v>3</v>
      </c>
      <c r="H8">
        <v>0</v>
      </c>
      <c r="I8">
        <v>1</v>
      </c>
      <c r="J8" s="4">
        <f t="shared" si="0"/>
        <v>25</v>
      </c>
      <c r="K8" s="12">
        <f t="shared" si="1"/>
        <v>9.1911764705882359E-2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3"/>
      <c r="AI8" s="83"/>
      <c r="AJ8" s="83"/>
      <c r="AK8" s="83"/>
      <c r="AL8" s="83"/>
    </row>
    <row r="9" spans="1:38" x14ac:dyDescent="0.25">
      <c r="A9" t="s">
        <v>63</v>
      </c>
      <c r="B9">
        <v>0</v>
      </c>
      <c r="C9">
        <v>0</v>
      </c>
      <c r="D9">
        <v>1</v>
      </c>
      <c r="E9">
        <v>1</v>
      </c>
      <c r="F9">
        <v>1</v>
      </c>
      <c r="G9">
        <v>2</v>
      </c>
      <c r="H9">
        <v>1</v>
      </c>
      <c r="I9">
        <v>0</v>
      </c>
      <c r="J9" s="4">
        <f t="shared" si="0"/>
        <v>6</v>
      </c>
      <c r="K9" s="12">
        <f t="shared" si="1"/>
        <v>2.2058823529411766E-2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3"/>
      <c r="AI9" s="83"/>
      <c r="AJ9" s="83"/>
      <c r="AK9" s="83"/>
      <c r="AL9" s="83"/>
    </row>
    <row r="10" spans="1:38" x14ac:dyDescent="0.25">
      <c r="A10" t="s">
        <v>64</v>
      </c>
      <c r="B10">
        <v>1</v>
      </c>
      <c r="C10">
        <v>0</v>
      </c>
      <c r="D10">
        <v>0</v>
      </c>
      <c r="E10">
        <v>0</v>
      </c>
      <c r="F10">
        <v>0</v>
      </c>
      <c r="G10">
        <v>2</v>
      </c>
      <c r="H10">
        <v>0</v>
      </c>
      <c r="I10">
        <v>2</v>
      </c>
      <c r="J10" s="4">
        <f t="shared" si="0"/>
        <v>5</v>
      </c>
      <c r="K10" s="12">
        <f t="shared" si="1"/>
        <v>1.8382352941176471E-2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3"/>
      <c r="AI10" s="83"/>
      <c r="AJ10" s="83"/>
      <c r="AK10" s="83"/>
      <c r="AL10" s="83"/>
    </row>
    <row r="11" spans="1:38" x14ac:dyDescent="0.25">
      <c r="A11" s="5" t="s">
        <v>65</v>
      </c>
      <c r="B11" s="6">
        <f>SUM(B3:B10)</f>
        <v>3</v>
      </c>
      <c r="C11" s="6">
        <f t="shared" ref="C11:I11" si="2">SUM(C3:C10)</f>
        <v>2</v>
      </c>
      <c r="D11" s="6">
        <f t="shared" si="2"/>
        <v>42</v>
      </c>
      <c r="E11" s="6">
        <f t="shared" si="2"/>
        <v>98</v>
      </c>
      <c r="F11" s="6">
        <f t="shared" si="2"/>
        <v>41</v>
      </c>
      <c r="G11" s="6">
        <f t="shared" si="2"/>
        <v>44</v>
      </c>
      <c r="H11" s="6">
        <f t="shared" si="2"/>
        <v>18</v>
      </c>
      <c r="I11" s="6">
        <f t="shared" si="2"/>
        <v>24</v>
      </c>
      <c r="J11" s="4">
        <f>SUM(J3:J10)</f>
        <v>272</v>
      </c>
      <c r="K11" s="4"/>
      <c r="M11" s="8"/>
      <c r="N11" s="7"/>
      <c r="O11" s="7"/>
      <c r="P11" s="7"/>
      <c r="Q11" s="7"/>
      <c r="R11" s="7"/>
      <c r="S11" s="7"/>
      <c r="T11" s="7"/>
      <c r="U11" s="7"/>
      <c r="V11" s="7"/>
      <c r="W11" s="7"/>
      <c r="X11" s="81"/>
      <c r="Y11" s="82"/>
      <c r="Z11" s="82"/>
      <c r="AA11" s="82"/>
      <c r="AB11" s="82"/>
      <c r="AC11" s="82"/>
      <c r="AD11" s="82"/>
      <c r="AE11" s="82"/>
      <c r="AF11" s="82"/>
      <c r="AG11" s="82"/>
      <c r="AH11" s="83"/>
      <c r="AI11" s="83"/>
      <c r="AJ11" s="83"/>
      <c r="AK11" s="83"/>
      <c r="AL11" s="83"/>
    </row>
    <row r="12" spans="1:38" x14ac:dyDescent="0.25">
      <c r="A12" s="5" t="s">
        <v>91</v>
      </c>
      <c r="B12" s="13">
        <f>B11/$J$11</f>
        <v>1.1029411764705883E-2</v>
      </c>
      <c r="C12" s="13">
        <f t="shared" ref="C12:I12" si="3">C11/$J$11</f>
        <v>7.3529411764705881E-3</v>
      </c>
      <c r="D12" s="13">
        <f t="shared" si="3"/>
        <v>0.15441176470588236</v>
      </c>
      <c r="E12" s="13">
        <f t="shared" si="3"/>
        <v>0.36029411764705882</v>
      </c>
      <c r="F12" s="13">
        <f t="shared" si="3"/>
        <v>0.15073529411764705</v>
      </c>
      <c r="G12" s="13">
        <f t="shared" si="3"/>
        <v>0.16176470588235295</v>
      </c>
      <c r="H12" s="13">
        <f t="shared" si="3"/>
        <v>6.6176470588235295E-2</v>
      </c>
      <c r="I12" s="13">
        <f t="shared" si="3"/>
        <v>8.8235294117647065E-2</v>
      </c>
      <c r="J12" s="19">
        <f>SUM(B12:I12)</f>
        <v>1</v>
      </c>
      <c r="K12" s="4"/>
      <c r="M12" s="8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x14ac:dyDescent="0.25">
      <c r="A13" s="5" t="s">
        <v>88</v>
      </c>
      <c r="B13" s="6" t="s">
        <v>64</v>
      </c>
      <c r="C13" s="6" t="s">
        <v>63</v>
      </c>
      <c r="D13" s="6" t="s">
        <v>62</v>
      </c>
      <c r="E13" s="6" t="s">
        <v>60</v>
      </c>
      <c r="F13" s="6" t="s">
        <v>59</v>
      </c>
      <c r="G13" s="6" t="s">
        <v>57</v>
      </c>
      <c r="H13" s="6" t="s">
        <v>89</v>
      </c>
      <c r="I13" s="6" t="s">
        <v>55</v>
      </c>
      <c r="J13" s="4"/>
      <c r="K13" s="4"/>
      <c r="M13" s="8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8" x14ac:dyDescent="0.25">
      <c r="A14" s="8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38" x14ac:dyDescent="0.25">
      <c r="A15" s="1" t="s">
        <v>61</v>
      </c>
      <c r="J15" s="4"/>
      <c r="K15" s="4"/>
      <c r="L15" s="7"/>
      <c r="M15" s="8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38" x14ac:dyDescent="0.25">
      <c r="A16" s="2" t="s">
        <v>55</v>
      </c>
      <c r="B16" s="20">
        <f t="shared" ref="B16:I16" si="4">B3/$J$11</f>
        <v>3.6764705882352941E-3</v>
      </c>
      <c r="C16" s="20">
        <f t="shared" si="4"/>
        <v>0</v>
      </c>
      <c r="D16" s="20">
        <f t="shared" si="4"/>
        <v>3.6764705882352942E-2</v>
      </c>
      <c r="E16" s="20">
        <f t="shared" si="4"/>
        <v>4.0441176470588237E-2</v>
      </c>
      <c r="F16" s="20">
        <f t="shared" si="4"/>
        <v>2.2058823529411766E-2</v>
      </c>
      <c r="G16" s="20">
        <f t="shared" si="4"/>
        <v>1.4705882352941176E-2</v>
      </c>
      <c r="H16" s="20">
        <f t="shared" si="4"/>
        <v>7.3529411764705881E-3</v>
      </c>
      <c r="I16" s="20">
        <f t="shared" si="4"/>
        <v>2.9411764705882353E-2</v>
      </c>
      <c r="J16" s="12">
        <f>SUM(B16:I16)</f>
        <v>0.15441176470588236</v>
      </c>
      <c r="K16" s="12"/>
      <c r="L16" s="7"/>
      <c r="M16" s="87"/>
      <c r="N16" s="89"/>
      <c r="O16" s="89"/>
      <c r="P16" s="89"/>
      <c r="Q16" s="89"/>
      <c r="R16" s="89"/>
      <c r="S16" s="89"/>
      <c r="T16" s="89"/>
      <c r="U16" s="89"/>
      <c r="V16" s="14"/>
      <c r="W16" s="14"/>
    </row>
    <row r="17" spans="1:23" x14ac:dyDescent="0.25">
      <c r="A17" s="3" t="s">
        <v>56</v>
      </c>
      <c r="B17" s="20">
        <f t="shared" ref="B17:E23" si="5">B4/$J$11</f>
        <v>3.6764705882352941E-3</v>
      </c>
      <c r="C17" s="20">
        <f t="shared" si="5"/>
        <v>3.6764705882352941E-3</v>
      </c>
      <c r="D17" s="20">
        <f t="shared" si="5"/>
        <v>2.2058823529411766E-2</v>
      </c>
      <c r="E17" s="20">
        <f t="shared" si="5"/>
        <v>3.3088235294117647E-2</v>
      </c>
      <c r="F17" s="20">
        <f t="shared" ref="F17:I23" si="6">F4/$J$11</f>
        <v>1.1029411764705883E-2</v>
      </c>
      <c r="G17" s="20">
        <f t="shared" si="6"/>
        <v>1.4705882352941176E-2</v>
      </c>
      <c r="H17" s="20">
        <f t="shared" si="6"/>
        <v>1.8382352941176471E-2</v>
      </c>
      <c r="I17" s="20">
        <f t="shared" si="6"/>
        <v>2.9411764705882353E-2</v>
      </c>
      <c r="J17" s="12">
        <f t="shared" ref="J17:J23" si="7">SUM(B17:I17)</f>
        <v>0.1360294117647059</v>
      </c>
      <c r="K17" s="12"/>
      <c r="L17" s="7"/>
      <c r="M17" s="88"/>
      <c r="N17" s="89"/>
      <c r="O17" s="89"/>
      <c r="P17" s="89"/>
      <c r="Q17" s="89"/>
      <c r="R17" s="89"/>
      <c r="S17" s="89"/>
      <c r="T17" s="89"/>
      <c r="U17" s="89"/>
      <c r="V17" s="14"/>
      <c r="W17" s="14"/>
    </row>
    <row r="18" spans="1:23" x14ac:dyDescent="0.25">
      <c r="A18" t="s">
        <v>57</v>
      </c>
      <c r="B18" s="20">
        <f t="shared" si="5"/>
        <v>0</v>
      </c>
      <c r="C18" s="20">
        <f t="shared" si="5"/>
        <v>0</v>
      </c>
      <c r="D18" s="20">
        <f t="shared" si="5"/>
        <v>1.4705882352941176E-2</v>
      </c>
      <c r="E18" s="20">
        <f t="shared" si="5"/>
        <v>3.3088235294117647E-2</v>
      </c>
      <c r="F18" s="20">
        <f t="shared" si="6"/>
        <v>7.3529411764705881E-3</v>
      </c>
      <c r="G18" s="20">
        <f t="shared" si="6"/>
        <v>6.25E-2</v>
      </c>
      <c r="H18" s="20">
        <f t="shared" si="6"/>
        <v>1.1029411764705883E-2</v>
      </c>
      <c r="I18" s="20">
        <f t="shared" si="6"/>
        <v>3.6764705882352941E-3</v>
      </c>
      <c r="J18" s="12">
        <f t="shared" si="7"/>
        <v>0.13235294117647056</v>
      </c>
      <c r="K18" s="12"/>
      <c r="L18" s="7"/>
      <c r="M18" s="7"/>
      <c r="N18" s="89"/>
      <c r="O18" s="89"/>
      <c r="P18" s="89"/>
      <c r="Q18" s="89"/>
      <c r="R18" s="89"/>
      <c r="S18" s="89"/>
      <c r="T18" s="89"/>
      <c r="U18" s="89"/>
      <c r="V18" s="14"/>
      <c r="W18" s="14"/>
    </row>
    <row r="19" spans="1:23" x14ac:dyDescent="0.25">
      <c r="A19" t="s">
        <v>59</v>
      </c>
      <c r="B19" s="20">
        <f t="shared" si="5"/>
        <v>0</v>
      </c>
      <c r="C19" s="20">
        <f t="shared" si="5"/>
        <v>0</v>
      </c>
      <c r="D19" s="20">
        <f t="shared" si="5"/>
        <v>2.5735294117647058E-2</v>
      </c>
      <c r="E19" s="20">
        <f t="shared" si="5"/>
        <v>0.10294117647058823</v>
      </c>
      <c r="F19" s="20">
        <f t="shared" si="6"/>
        <v>5.514705882352941E-2</v>
      </c>
      <c r="G19" s="20">
        <f t="shared" si="6"/>
        <v>2.2058823529411766E-2</v>
      </c>
      <c r="H19" s="20">
        <f t="shared" si="6"/>
        <v>1.4705882352941176E-2</v>
      </c>
      <c r="I19" s="20">
        <f t="shared" si="6"/>
        <v>7.3529411764705881E-3</v>
      </c>
      <c r="J19" s="12">
        <f t="shared" si="7"/>
        <v>0.22794117647058823</v>
      </c>
      <c r="K19" s="12"/>
      <c r="L19" s="7"/>
      <c r="M19" s="7"/>
      <c r="N19" s="89"/>
      <c r="O19" s="89"/>
      <c r="P19" s="89"/>
      <c r="Q19" s="89"/>
      <c r="R19" s="89"/>
      <c r="S19" s="89"/>
      <c r="T19" s="89"/>
      <c r="U19" s="89"/>
      <c r="V19" s="14"/>
      <c r="W19" s="14"/>
    </row>
    <row r="20" spans="1:23" x14ac:dyDescent="0.25">
      <c r="A20" t="s">
        <v>60</v>
      </c>
      <c r="B20" s="20">
        <f t="shared" si="5"/>
        <v>0</v>
      </c>
      <c r="C20" s="20">
        <f t="shared" si="5"/>
        <v>3.6764705882352941E-3</v>
      </c>
      <c r="D20" s="20">
        <f t="shared" si="5"/>
        <v>1.8382352941176471E-2</v>
      </c>
      <c r="E20" s="20">
        <f t="shared" si="5"/>
        <v>0.11764705882352941</v>
      </c>
      <c r="F20" s="20">
        <f t="shared" si="6"/>
        <v>3.6764705882352942E-2</v>
      </c>
      <c r="G20" s="20">
        <f t="shared" si="6"/>
        <v>2.2058823529411766E-2</v>
      </c>
      <c r="H20" s="20">
        <f t="shared" si="6"/>
        <v>1.1029411764705883E-2</v>
      </c>
      <c r="I20" s="20">
        <f t="shared" si="6"/>
        <v>7.3529411764705881E-3</v>
      </c>
      <c r="J20" s="12">
        <f t="shared" si="7"/>
        <v>0.21691176470588236</v>
      </c>
      <c r="K20" s="12"/>
      <c r="L20" s="7"/>
      <c r="M20" s="7"/>
      <c r="N20" s="89"/>
      <c r="O20" s="89"/>
      <c r="P20" s="89"/>
      <c r="Q20" s="89"/>
      <c r="R20" s="89"/>
      <c r="S20" s="89"/>
      <c r="T20" s="89"/>
      <c r="U20" s="89"/>
      <c r="V20" s="14"/>
      <c r="W20" s="14"/>
    </row>
    <row r="21" spans="1:23" x14ac:dyDescent="0.25">
      <c r="A21" t="s">
        <v>62</v>
      </c>
      <c r="B21" s="20">
        <f t="shared" si="5"/>
        <v>0</v>
      </c>
      <c r="C21" s="20">
        <f t="shared" si="5"/>
        <v>0</v>
      </c>
      <c r="D21" s="20">
        <f t="shared" si="5"/>
        <v>3.3088235294117647E-2</v>
      </c>
      <c r="E21" s="20">
        <f t="shared" si="5"/>
        <v>2.9411764705882353E-2</v>
      </c>
      <c r="F21" s="20">
        <f t="shared" si="6"/>
        <v>1.4705882352941176E-2</v>
      </c>
      <c r="G21" s="20">
        <f t="shared" si="6"/>
        <v>1.1029411764705883E-2</v>
      </c>
      <c r="H21" s="20">
        <f t="shared" si="6"/>
        <v>0</v>
      </c>
      <c r="I21" s="20">
        <f t="shared" si="6"/>
        <v>3.6764705882352941E-3</v>
      </c>
      <c r="J21" s="12">
        <f t="shared" si="7"/>
        <v>9.1911764705882359E-2</v>
      </c>
      <c r="K21" s="12"/>
      <c r="L21" s="7"/>
      <c r="M21" s="7"/>
      <c r="N21" s="89"/>
      <c r="O21" s="89"/>
      <c r="P21" s="89"/>
      <c r="Q21" s="89"/>
      <c r="R21" s="89"/>
      <c r="S21" s="89"/>
      <c r="T21" s="89"/>
      <c r="U21" s="89"/>
      <c r="V21" s="14"/>
      <c r="W21" s="14"/>
    </row>
    <row r="22" spans="1:23" x14ac:dyDescent="0.25">
      <c r="A22" t="s">
        <v>63</v>
      </c>
      <c r="B22" s="20">
        <f t="shared" si="5"/>
        <v>0</v>
      </c>
      <c r="C22" s="20">
        <f t="shared" si="5"/>
        <v>0</v>
      </c>
      <c r="D22" s="20">
        <f t="shared" si="5"/>
        <v>3.6764705882352941E-3</v>
      </c>
      <c r="E22" s="20">
        <f t="shared" si="5"/>
        <v>3.6764705882352941E-3</v>
      </c>
      <c r="F22" s="20">
        <f t="shared" si="6"/>
        <v>3.6764705882352941E-3</v>
      </c>
      <c r="G22" s="20">
        <f t="shared" si="6"/>
        <v>7.3529411764705881E-3</v>
      </c>
      <c r="H22" s="20">
        <f t="shared" si="6"/>
        <v>3.6764705882352941E-3</v>
      </c>
      <c r="I22" s="20">
        <f t="shared" si="6"/>
        <v>0</v>
      </c>
      <c r="J22" s="12">
        <f t="shared" si="7"/>
        <v>2.2058823529411763E-2</v>
      </c>
      <c r="K22" s="12"/>
      <c r="L22" s="7"/>
      <c r="M22" s="7"/>
      <c r="N22" s="89"/>
      <c r="O22" s="89"/>
      <c r="P22" s="89"/>
      <c r="Q22" s="89"/>
      <c r="R22" s="89"/>
      <c r="S22" s="89"/>
      <c r="T22" s="89"/>
      <c r="U22" s="89"/>
      <c r="V22" s="14"/>
      <c r="W22" s="14"/>
    </row>
    <row r="23" spans="1:23" x14ac:dyDescent="0.25">
      <c r="A23" t="s">
        <v>64</v>
      </c>
      <c r="B23" s="20">
        <f t="shared" si="5"/>
        <v>3.6764705882352941E-3</v>
      </c>
      <c r="C23" s="20">
        <f t="shared" si="5"/>
        <v>0</v>
      </c>
      <c r="D23" s="20">
        <f t="shared" si="5"/>
        <v>0</v>
      </c>
      <c r="E23" s="20">
        <f t="shared" si="5"/>
        <v>0</v>
      </c>
      <c r="F23" s="20">
        <f t="shared" si="6"/>
        <v>0</v>
      </c>
      <c r="G23" s="20">
        <f t="shared" si="6"/>
        <v>7.3529411764705881E-3</v>
      </c>
      <c r="H23" s="20">
        <f t="shared" si="6"/>
        <v>0</v>
      </c>
      <c r="I23" s="20">
        <f t="shared" si="6"/>
        <v>7.3529411764705881E-3</v>
      </c>
      <c r="J23" s="12">
        <f t="shared" si="7"/>
        <v>1.8382352941176468E-2</v>
      </c>
      <c r="K23" s="12"/>
      <c r="L23" s="7"/>
      <c r="M23" s="7"/>
      <c r="N23" s="89"/>
      <c r="O23" s="89"/>
      <c r="P23" s="89"/>
      <c r="Q23" s="89"/>
      <c r="R23" s="89"/>
      <c r="S23" s="89"/>
      <c r="T23" s="89"/>
      <c r="U23" s="89"/>
      <c r="V23" s="14"/>
      <c r="W23" s="14"/>
    </row>
    <row r="24" spans="1:23" x14ac:dyDescent="0.25">
      <c r="A24" s="5" t="s">
        <v>91</v>
      </c>
      <c r="B24" s="13">
        <f>SUM(B16:B23)</f>
        <v>1.1029411764705881E-2</v>
      </c>
      <c r="C24" s="13">
        <f t="shared" ref="C24:I24" si="8">SUM(C16:C23)</f>
        <v>7.3529411764705881E-3</v>
      </c>
      <c r="D24" s="13">
        <f t="shared" si="8"/>
        <v>0.15441176470588236</v>
      </c>
      <c r="E24" s="13">
        <f t="shared" si="8"/>
        <v>0.36029411764705882</v>
      </c>
      <c r="F24" s="13">
        <f t="shared" si="8"/>
        <v>0.15073529411764705</v>
      </c>
      <c r="G24" s="13">
        <f t="shared" si="8"/>
        <v>0.16176470588235295</v>
      </c>
      <c r="H24" s="13">
        <f t="shared" si="8"/>
        <v>6.6176470588235295E-2</v>
      </c>
      <c r="I24" s="13">
        <f t="shared" si="8"/>
        <v>8.8235294117647065E-2</v>
      </c>
      <c r="J24" s="19">
        <f>SUM(B24:I24)</f>
        <v>1</v>
      </c>
      <c r="K24" s="4"/>
      <c r="L24" s="7"/>
      <c r="M24" s="8"/>
      <c r="N24" s="14"/>
      <c r="O24" s="14"/>
      <c r="P24" s="14"/>
      <c r="Q24" s="14"/>
      <c r="R24" s="14"/>
      <c r="S24" s="14"/>
      <c r="T24" s="14"/>
      <c r="U24" s="14"/>
      <c r="V24" s="18"/>
      <c r="W24" s="7"/>
    </row>
    <row r="25" spans="1:23" x14ac:dyDescent="0.25">
      <c r="A25" s="5" t="s">
        <v>88</v>
      </c>
      <c r="B25" s="6" t="s">
        <v>64</v>
      </c>
      <c r="C25" s="6" t="s">
        <v>63</v>
      </c>
      <c r="D25" s="6" t="s">
        <v>62</v>
      </c>
      <c r="E25" s="6" t="s">
        <v>60</v>
      </c>
      <c r="F25" s="6" t="s">
        <v>59</v>
      </c>
      <c r="G25" s="6" t="s">
        <v>57</v>
      </c>
      <c r="H25" s="6" t="s">
        <v>89</v>
      </c>
      <c r="I25" s="6" t="s">
        <v>55</v>
      </c>
      <c r="J25" s="4"/>
      <c r="K25" s="4"/>
      <c r="L25" s="7"/>
      <c r="M25" s="8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x14ac:dyDescent="0.25">
      <c r="A26" s="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N26" s="7"/>
      <c r="O26" s="7"/>
      <c r="P26" s="7"/>
      <c r="Q26" s="7"/>
      <c r="R26" s="7"/>
      <c r="S26" s="7"/>
      <c r="T26" s="7"/>
      <c r="U26" s="7"/>
      <c r="V26" s="7"/>
    </row>
    <row r="27" spans="1:23" x14ac:dyDescent="0.25">
      <c r="A27" s="8" t="s">
        <v>103</v>
      </c>
      <c r="B27" s="7"/>
      <c r="C27" s="7"/>
      <c r="D27" s="7"/>
      <c r="E27" s="7"/>
      <c r="F27" s="7"/>
      <c r="G27" s="8" t="s">
        <v>104</v>
      </c>
      <c r="H27" s="7"/>
      <c r="I27" s="7"/>
      <c r="J27" s="7"/>
      <c r="K27" s="7"/>
      <c r="M27" s="8"/>
      <c r="N27" s="7"/>
      <c r="O27" s="7"/>
      <c r="P27" s="7"/>
      <c r="Q27" s="7"/>
      <c r="R27" s="7"/>
      <c r="S27" s="7"/>
      <c r="T27" s="7"/>
      <c r="U27" s="7"/>
      <c r="V27" s="7"/>
    </row>
    <row r="28" spans="1:23" x14ac:dyDescent="0.25">
      <c r="A28" s="8" t="s">
        <v>101</v>
      </c>
      <c r="B28" s="7" t="s">
        <v>68</v>
      </c>
      <c r="C28" s="7" t="s">
        <v>69</v>
      </c>
      <c r="D28" s="7" t="s">
        <v>70</v>
      </c>
      <c r="E28" s="7" t="s">
        <v>69</v>
      </c>
      <c r="G28" s="8" t="s">
        <v>102</v>
      </c>
      <c r="H28" s="7" t="s">
        <v>68</v>
      </c>
      <c r="I28" s="7" t="s">
        <v>69</v>
      </c>
      <c r="J28" s="7" t="s">
        <v>70</v>
      </c>
      <c r="K28" s="7" t="s">
        <v>69</v>
      </c>
      <c r="M28" s="8"/>
      <c r="N28" s="7"/>
      <c r="O28" s="7"/>
      <c r="P28" s="7"/>
      <c r="Q28" s="7"/>
      <c r="R28" s="7"/>
      <c r="S28" s="7"/>
      <c r="T28" s="7"/>
      <c r="U28" s="7"/>
      <c r="V28" s="7"/>
    </row>
    <row r="29" spans="1:23" x14ac:dyDescent="0.25">
      <c r="A29" t="s">
        <v>71</v>
      </c>
      <c r="B29">
        <f>J11</f>
        <v>272</v>
      </c>
      <c r="C29" s="9">
        <f>B29/B29</f>
        <v>1</v>
      </c>
      <c r="D29">
        <v>64</v>
      </c>
      <c r="E29" s="9">
        <f>D29/D29</f>
        <v>1</v>
      </c>
      <c r="G29" t="s">
        <v>71</v>
      </c>
      <c r="H29">
        <f>J11</f>
        <v>272</v>
      </c>
      <c r="I29" s="9">
        <f t="shared" ref="I29:I35" si="9">H29/$H$29</f>
        <v>1</v>
      </c>
      <c r="J29">
        <v>64</v>
      </c>
      <c r="K29" s="9">
        <f>J29/J29</f>
        <v>1</v>
      </c>
      <c r="O29" s="9"/>
      <c r="Q29" s="9"/>
      <c r="V29" s="7"/>
    </row>
    <row r="30" spans="1:23" x14ac:dyDescent="0.25">
      <c r="A30" t="s">
        <v>66</v>
      </c>
      <c r="B30">
        <f>B3+C3+B4</f>
        <v>2</v>
      </c>
      <c r="C30" s="11">
        <f t="shared" ref="C30:C35" si="10">B30/B$29</f>
        <v>7.3529411764705881E-3</v>
      </c>
      <c r="D30">
        <v>3</v>
      </c>
      <c r="E30" s="9">
        <f t="shared" ref="E30:E35" si="11">D30/D$29</f>
        <v>4.6875E-2</v>
      </c>
      <c r="G30" t="s">
        <v>116</v>
      </c>
      <c r="H30">
        <f>B3</f>
        <v>1</v>
      </c>
      <c r="I30" s="9">
        <f t="shared" si="9"/>
        <v>3.6764705882352941E-3</v>
      </c>
      <c r="J30">
        <v>1</v>
      </c>
      <c r="K30" s="9">
        <f t="shared" ref="K30:K35" si="12">J30/J$29</f>
        <v>1.5625E-2</v>
      </c>
      <c r="O30" s="11"/>
      <c r="Q30" s="9"/>
      <c r="V30" s="7"/>
    </row>
    <row r="31" spans="1:23" x14ac:dyDescent="0.25">
      <c r="A31" t="s">
        <v>72</v>
      </c>
      <c r="B31">
        <f>B3+B4+C3+C4+C5+D4+D5+D6+E5+E6+E7+F6</f>
        <v>104</v>
      </c>
      <c r="C31" s="11">
        <f t="shared" si="10"/>
        <v>0.38235294117647056</v>
      </c>
      <c r="D31">
        <v>12</v>
      </c>
      <c r="E31" s="9">
        <f t="shared" si="11"/>
        <v>0.1875</v>
      </c>
      <c r="G31" t="s">
        <v>117</v>
      </c>
      <c r="H31">
        <f>B3+C4+D5+E6</f>
        <v>34</v>
      </c>
      <c r="I31" s="23">
        <f t="shared" si="9"/>
        <v>0.125</v>
      </c>
      <c r="J31">
        <v>4</v>
      </c>
      <c r="K31" s="9">
        <f t="shared" si="12"/>
        <v>6.25E-2</v>
      </c>
      <c r="O31" s="11"/>
      <c r="Q31" s="9"/>
      <c r="V31" s="7"/>
    </row>
    <row r="32" spans="1:23" x14ac:dyDescent="0.25">
      <c r="A32" t="s">
        <v>73</v>
      </c>
      <c r="B32">
        <f>SUM(B3:B7, C3:C7, D3:D7, E3:E7, F3:F6)</f>
        <v>151</v>
      </c>
      <c r="C32" s="11">
        <f t="shared" si="10"/>
        <v>0.55514705882352944</v>
      </c>
      <c r="D32">
        <v>24</v>
      </c>
      <c r="E32" s="9">
        <f t="shared" si="11"/>
        <v>0.375</v>
      </c>
      <c r="G32" t="s">
        <v>118</v>
      </c>
      <c r="H32">
        <f>SUM(B3:B6) + SUM(C3:C6) + SUM(D3:D6) + SUM(E3:E6)</f>
        <v>87</v>
      </c>
      <c r="I32" s="9">
        <f t="shared" si="9"/>
        <v>0.31985294117647056</v>
      </c>
      <c r="J32">
        <v>16</v>
      </c>
      <c r="K32" s="9">
        <f t="shared" si="12"/>
        <v>0.25</v>
      </c>
      <c r="O32" s="11"/>
      <c r="Q32" s="9"/>
      <c r="V32" s="7"/>
    </row>
    <row r="33" spans="1:26" x14ac:dyDescent="0.25">
      <c r="A33" t="s">
        <v>74</v>
      </c>
      <c r="B33">
        <f>SUM(B3:B10, C3:C9, D3:D8, E3:E7, F3:F6, G3:G5, H3:H4, I3)</f>
        <v>201</v>
      </c>
      <c r="C33" s="11">
        <f t="shared" si="10"/>
        <v>0.73897058823529416</v>
      </c>
      <c r="D33">
        <v>36</v>
      </c>
      <c r="E33" s="9">
        <f t="shared" si="11"/>
        <v>0.5625</v>
      </c>
      <c r="G33" t="s">
        <v>119</v>
      </c>
      <c r="H33">
        <f>SUM(B3:B9)+SUM(C3:C8)+SUM(D3:D7)+SUM(E3:E6)+SUM(F3:F5)+SUM(G3:G4)+H3</f>
        <v>114</v>
      </c>
      <c r="I33" s="9">
        <f t="shared" si="9"/>
        <v>0.41911764705882354</v>
      </c>
      <c r="J33">
        <v>28</v>
      </c>
      <c r="K33" s="9">
        <f t="shared" si="12"/>
        <v>0.4375</v>
      </c>
      <c r="O33" s="11"/>
      <c r="Q33" s="9"/>
      <c r="V33" s="7"/>
    </row>
    <row r="34" spans="1:26" x14ac:dyDescent="0.25">
      <c r="A34" t="s">
        <v>75</v>
      </c>
      <c r="B34">
        <f>SUM(B9:B10, C8:C10, D7:D9, E6:E8, F5:F7, G4:G6, H3:H5, I3:I4)</f>
        <v>164</v>
      </c>
      <c r="C34" s="11">
        <f t="shared" si="10"/>
        <v>0.6029411764705882</v>
      </c>
      <c r="D34">
        <v>22</v>
      </c>
      <c r="E34" s="9">
        <f t="shared" si="11"/>
        <v>0.34375</v>
      </c>
      <c r="G34" t="s">
        <v>120</v>
      </c>
      <c r="H34">
        <f>B10+C9+D8+E7+F6+G5+H4+I3</f>
        <v>87</v>
      </c>
      <c r="I34" s="22">
        <f t="shared" si="9"/>
        <v>0.31985294117647056</v>
      </c>
      <c r="J34">
        <v>8</v>
      </c>
      <c r="K34" s="9">
        <f t="shared" si="12"/>
        <v>0.125</v>
      </c>
      <c r="O34" s="11"/>
      <c r="Q34" s="9"/>
      <c r="V34" s="7"/>
    </row>
    <row r="35" spans="1:26" x14ac:dyDescent="0.25">
      <c r="A35" t="s">
        <v>76</v>
      </c>
      <c r="B35">
        <f>SUM(E6:E7, F6:F7)</f>
        <v>85</v>
      </c>
      <c r="C35" s="11">
        <f t="shared" si="10"/>
        <v>0.3125</v>
      </c>
      <c r="D35">
        <v>4</v>
      </c>
      <c r="E35" s="9">
        <f t="shared" si="11"/>
        <v>6.25E-2</v>
      </c>
      <c r="G35" t="s">
        <v>121</v>
      </c>
      <c r="H35">
        <f>E7+F6</f>
        <v>47</v>
      </c>
      <c r="I35" s="22">
        <f t="shared" si="9"/>
        <v>0.17279411764705882</v>
      </c>
      <c r="J35">
        <v>2</v>
      </c>
      <c r="K35" s="9">
        <f t="shared" si="12"/>
        <v>3.125E-2</v>
      </c>
      <c r="O35" s="11"/>
      <c r="Q35" s="9"/>
      <c r="V35" s="7"/>
    </row>
    <row r="36" spans="1:26" x14ac:dyDescent="0.25">
      <c r="C36" s="11"/>
      <c r="E36" s="9"/>
      <c r="I36" s="9"/>
      <c r="K36" s="9"/>
      <c r="O36" s="11"/>
      <c r="Q36" s="9"/>
      <c r="V36" s="7"/>
    </row>
    <row r="37" spans="1:26" x14ac:dyDescent="0.25">
      <c r="A37" t="s">
        <v>124</v>
      </c>
      <c r="B37">
        <f>B29-B35</f>
        <v>187</v>
      </c>
      <c r="C37" s="11">
        <v>1</v>
      </c>
      <c r="D37">
        <v>60</v>
      </c>
      <c r="E37" s="9">
        <v>1</v>
      </c>
      <c r="G37" t="s">
        <v>125</v>
      </c>
      <c r="H37">
        <f>H29-H35</f>
        <v>225</v>
      </c>
      <c r="I37" s="9">
        <v>1</v>
      </c>
      <c r="J37">
        <v>62</v>
      </c>
      <c r="K37" s="9">
        <v>1</v>
      </c>
      <c r="O37" s="11"/>
      <c r="Q37" s="9"/>
      <c r="V37" s="7"/>
    </row>
    <row r="38" spans="1:26" x14ac:dyDescent="0.25">
      <c r="A38" t="s">
        <v>80</v>
      </c>
      <c r="B38">
        <f>B34-B35</f>
        <v>79</v>
      </c>
      <c r="C38" s="11">
        <f>B38/B$37</f>
        <v>0.42245989304812837</v>
      </c>
      <c r="D38">
        <v>18</v>
      </c>
      <c r="E38" s="9">
        <f>D38/D$37</f>
        <v>0.3</v>
      </c>
      <c r="G38" t="s">
        <v>122</v>
      </c>
      <c r="H38">
        <f>H34-E7-F6</f>
        <v>40</v>
      </c>
      <c r="I38" s="9">
        <f>H38/$H$37</f>
        <v>0.17777777777777778</v>
      </c>
      <c r="J38">
        <v>6</v>
      </c>
      <c r="K38" s="9">
        <f>J38/J$37</f>
        <v>9.6774193548387094E-2</v>
      </c>
      <c r="O38" s="11"/>
      <c r="Q38" s="9"/>
      <c r="V38" s="7"/>
    </row>
    <row r="39" spans="1:26" x14ac:dyDescent="0.25">
      <c r="C39" s="10"/>
      <c r="E39" s="9"/>
      <c r="O39" s="10"/>
      <c r="Q39" s="9"/>
      <c r="V39" s="7"/>
    </row>
    <row r="40" spans="1:26" x14ac:dyDescent="0.25">
      <c r="A40" t="s">
        <v>81</v>
      </c>
      <c r="B40">
        <f>B29-B34</f>
        <v>108</v>
      </c>
      <c r="C40" s="10">
        <f>B40/B$40</f>
        <v>1</v>
      </c>
      <c r="D40">
        <v>42</v>
      </c>
      <c r="E40" s="9">
        <f>D40/D$40</f>
        <v>1</v>
      </c>
      <c r="K40" s="9"/>
      <c r="O40" s="10"/>
      <c r="Q40" s="9"/>
      <c r="V40" s="7"/>
    </row>
    <row r="41" spans="1:26" x14ac:dyDescent="0.25">
      <c r="A41" t="s">
        <v>82</v>
      </c>
      <c r="B41">
        <f>B30</f>
        <v>2</v>
      </c>
      <c r="C41" s="11">
        <f>B41/B$40</f>
        <v>1.8518518518518517E-2</v>
      </c>
      <c r="D41">
        <v>3</v>
      </c>
      <c r="E41" s="9">
        <f>D41/D$40</f>
        <v>7.1428571428571425E-2</v>
      </c>
      <c r="K41" s="9"/>
      <c r="O41" s="11"/>
      <c r="Q41" s="9"/>
      <c r="V41" s="7"/>
    </row>
    <row r="42" spans="1:26" x14ac:dyDescent="0.25">
      <c r="A42" t="s">
        <v>77</v>
      </c>
      <c r="B42">
        <f>B31-(SUM(E6:E7,F6))</f>
        <v>29</v>
      </c>
      <c r="C42" s="11">
        <f>B42/B$40</f>
        <v>0.26851851851851855</v>
      </c>
      <c r="D42">
        <v>9</v>
      </c>
      <c r="E42" s="9">
        <f>D42/D$40</f>
        <v>0.21428571428571427</v>
      </c>
      <c r="I42" s="9"/>
      <c r="K42" s="9"/>
      <c r="O42" s="11"/>
      <c r="Q42" s="9"/>
      <c r="V42" s="7"/>
    </row>
    <row r="43" spans="1:26" x14ac:dyDescent="0.25">
      <c r="A43" t="s">
        <v>78</v>
      </c>
      <c r="B43">
        <f>$B$32-SUM($D$7, $E$6:E$7, $F$5:$F$6)</f>
        <v>69</v>
      </c>
      <c r="C43" s="11">
        <f>B43/B$40</f>
        <v>0.63888888888888884</v>
      </c>
      <c r="D43">
        <v>19</v>
      </c>
      <c r="E43" s="9">
        <f>D43/D$40</f>
        <v>0.45238095238095238</v>
      </c>
      <c r="K43" s="9"/>
      <c r="O43" s="11"/>
      <c r="Q43" s="9"/>
      <c r="V43" s="7"/>
    </row>
    <row r="44" spans="1:26" x14ac:dyDescent="0.25">
      <c r="A44" t="s">
        <v>79</v>
      </c>
      <c r="B44">
        <f>B$33-SUM(B$9:B$10, C$8:C$9, D$7:D$8, E$6:E$7, F$5:F$6, G$4:G$5, H$3:H$4, I$3)</f>
        <v>73</v>
      </c>
      <c r="C44" s="11">
        <f>B44/B$40</f>
        <v>0.67592592592592593</v>
      </c>
      <c r="D44">
        <v>21</v>
      </c>
      <c r="E44" s="9">
        <f>D44/D$40</f>
        <v>0.5</v>
      </c>
      <c r="K44" s="9"/>
      <c r="O44" s="11"/>
      <c r="Q44" s="9"/>
      <c r="V44" s="7"/>
    </row>
    <row r="47" spans="1:26" x14ac:dyDescent="0.25">
      <c r="A47" t="s">
        <v>92</v>
      </c>
      <c r="P47" t="s">
        <v>92</v>
      </c>
    </row>
    <row r="48" spans="1:26" x14ac:dyDescent="0.25">
      <c r="A48" t="s">
        <v>93</v>
      </c>
      <c r="B48" s="7"/>
      <c r="C48" s="7"/>
      <c r="D48" s="7"/>
      <c r="E48" s="7"/>
      <c r="F48" s="7"/>
      <c r="G48" s="7"/>
      <c r="H48" s="7"/>
      <c r="I48" s="7"/>
      <c r="J48" t="s">
        <v>95</v>
      </c>
      <c r="K48" s="6" t="s">
        <v>96</v>
      </c>
      <c r="P48" t="s">
        <v>93</v>
      </c>
      <c r="Q48" s="7"/>
      <c r="R48" s="7"/>
      <c r="S48" s="7"/>
      <c r="T48" s="7"/>
      <c r="U48" s="7"/>
      <c r="V48" s="7"/>
      <c r="W48" s="7"/>
      <c r="X48" s="7"/>
      <c r="Y48" t="s">
        <v>95</v>
      </c>
      <c r="Z48" s="6" t="s">
        <v>96</v>
      </c>
    </row>
    <row r="49" spans="1:26" x14ac:dyDescent="0.25">
      <c r="A49" t="s">
        <v>98</v>
      </c>
      <c r="B49" s="14">
        <f>B11/$J$11</f>
        <v>1.1029411764705883E-2</v>
      </c>
      <c r="C49" s="14">
        <f t="shared" ref="C49:I49" si="13">C11/$J$11</f>
        <v>7.3529411764705881E-3</v>
      </c>
      <c r="D49" s="14">
        <f t="shared" si="13"/>
        <v>0.15441176470588236</v>
      </c>
      <c r="E49" s="14">
        <f t="shared" si="13"/>
        <v>0.36029411764705882</v>
      </c>
      <c r="F49" s="14">
        <f t="shared" si="13"/>
        <v>0.15073529411764705</v>
      </c>
      <c r="G49" s="14">
        <f t="shared" si="13"/>
        <v>0.16176470588235295</v>
      </c>
      <c r="H49" s="14">
        <f t="shared" si="13"/>
        <v>6.6176470588235295E-2</v>
      </c>
      <c r="I49" s="14">
        <f t="shared" si="13"/>
        <v>8.8235294117647065E-2</v>
      </c>
      <c r="J49" s="11">
        <f>SUM(B49:I49)</f>
        <v>1</v>
      </c>
      <c r="K49" s="17">
        <f>SUM(B49:E49)</f>
        <v>0.53308823529411764</v>
      </c>
      <c r="P49" t="s">
        <v>105</v>
      </c>
      <c r="Q49" s="14">
        <f>'Version 1 (GI1) on-line'!B12</f>
        <v>8.8235294117647065E-2</v>
      </c>
      <c r="R49" s="14">
        <f>'Version 1 (GI1) on-line'!C12</f>
        <v>5.6985294117647058E-2</v>
      </c>
      <c r="S49" s="14">
        <f>'Version 1 (GI1) on-line'!D12</f>
        <v>0.10294117647058823</v>
      </c>
      <c r="T49" s="14">
        <f>'Version 1 (GI1) on-line'!E12</f>
        <v>0.24080882352941177</v>
      </c>
      <c r="U49" s="14">
        <f>'Version 1 (GI1) on-line'!F12</f>
        <v>0.18198529411764705</v>
      </c>
      <c r="V49" s="14">
        <f>'Version 1 (GI1) on-line'!G12</f>
        <v>0.13419117647058823</v>
      </c>
      <c r="W49" s="14">
        <f>'Version 1 (GI1) on-line'!H12</f>
        <v>9.9264705882352935E-2</v>
      </c>
      <c r="X49" s="14">
        <f>'Version 1 (GI1) on-line'!I12</f>
        <v>9.5588235294117641E-2</v>
      </c>
      <c r="Y49" s="11">
        <f>SUM(Q49:X49)</f>
        <v>1</v>
      </c>
      <c r="Z49" s="17">
        <f>SUM(Q49:T49)</f>
        <v>0.48897058823529416</v>
      </c>
    </row>
    <row r="50" spans="1:26" x14ac:dyDescent="0.25">
      <c r="A50" t="s">
        <v>99</v>
      </c>
      <c r="B50" s="11">
        <f>'Version 2 (GI2) on-site'!B12</f>
        <v>3.2894736842105261E-3</v>
      </c>
      <c r="C50" s="11">
        <f>'Version 2 (GI2) on-site'!C12</f>
        <v>3.2894736842105261E-2</v>
      </c>
      <c r="D50" s="11">
        <f>'Version 2 (GI2) on-site'!D12</f>
        <v>0.27302631578947367</v>
      </c>
      <c r="E50" s="11">
        <f>'Version 2 (GI2) on-site'!E12</f>
        <v>0.38486842105263158</v>
      </c>
      <c r="F50" s="11">
        <f>'Version 2 (GI2) on-site'!F12</f>
        <v>0.21381578947368421</v>
      </c>
      <c r="G50" s="11">
        <f>'Version 2 (GI2) on-site'!G12</f>
        <v>5.5921052631578948E-2</v>
      </c>
      <c r="H50" s="11">
        <f>'Version 2 (GI2) on-site'!H12</f>
        <v>1.9736842105263157E-2</v>
      </c>
      <c r="I50" s="11">
        <f>'Version 2 (GI2) on-site'!I12</f>
        <v>1.6447368421052631E-2</v>
      </c>
      <c r="J50" s="11">
        <f>SUM(B50:I50)</f>
        <v>1</v>
      </c>
      <c r="K50" s="17">
        <f>SUM(B50:E50)</f>
        <v>0.69407894736842102</v>
      </c>
      <c r="P50" t="s">
        <v>106</v>
      </c>
      <c r="Q50" s="11">
        <f>'Version 2 (GI2) on-line'!B12</f>
        <v>5.2455357142857144E-2</v>
      </c>
      <c r="R50" s="11">
        <f>'Version 2 (GI2) on-line'!C12</f>
        <v>5.46875E-2</v>
      </c>
      <c r="S50" s="11">
        <f>'Version 2 (GI2) on-line'!D12</f>
        <v>0.15401785714285715</v>
      </c>
      <c r="T50" s="11">
        <f>'Version 2 (GI2) on-line'!E12</f>
        <v>0.29129464285714285</v>
      </c>
      <c r="U50" s="11">
        <f>'Version 2 (GI2) on-line'!F12</f>
        <v>0.13616071428571427</v>
      </c>
      <c r="V50" s="11">
        <f>'Version 2 (GI2) on-line'!G12</f>
        <v>0.12611607142857142</v>
      </c>
      <c r="W50" s="11">
        <f>'Version 2 (GI2) on-line'!H12</f>
        <v>8.4821428571428575E-2</v>
      </c>
      <c r="X50" s="11">
        <f>'Version 2 (GI2) on-line'!I12</f>
        <v>0.10044642857142858</v>
      </c>
      <c r="Y50" s="11">
        <f>SUM(Q50:X50)</f>
        <v>1</v>
      </c>
      <c r="Z50" s="17">
        <f>SUM(Q50:T50)</f>
        <v>0.55245535714285721</v>
      </c>
    </row>
    <row r="51" spans="1:26" x14ac:dyDescent="0.25">
      <c r="A51" t="s">
        <v>100</v>
      </c>
      <c r="B51" s="11">
        <f>'Version 3 (GI3) on-site'!B12</f>
        <v>2.1874999999999999E-2</v>
      </c>
      <c r="C51" s="11">
        <f>'Version 3 (GI3) on-site'!C12</f>
        <v>6.25E-2</v>
      </c>
      <c r="D51" s="11">
        <f>'Version 3 (GI3) on-site'!D12</f>
        <v>0.25</v>
      </c>
      <c r="E51" s="11">
        <f>'Version 3 (GI3) on-site'!E12</f>
        <v>0.40312500000000001</v>
      </c>
      <c r="F51" s="11">
        <f>'Version 3 (GI3) on-site'!F12</f>
        <v>0.15312500000000001</v>
      </c>
      <c r="G51" s="11">
        <f>'Version 3 (GI3) on-site'!G12</f>
        <v>5.3124999999999999E-2</v>
      </c>
      <c r="H51" s="11">
        <f>'Version 3 (GI3) on-site'!H12</f>
        <v>3.125E-2</v>
      </c>
      <c r="I51" s="11">
        <f>'Version 3 (GI3) on-site'!I12</f>
        <v>2.5000000000000001E-2</v>
      </c>
      <c r="J51" s="11">
        <f>SUM(B51:I51)</f>
        <v>1</v>
      </c>
      <c r="K51" s="17">
        <f>SUM(B51:E51)</f>
        <v>0.73750000000000004</v>
      </c>
      <c r="P51" t="s">
        <v>107</v>
      </c>
      <c r="Q51" s="11">
        <f>'Version 3 (GI3) on-line'!B12</f>
        <v>6.1936936936936936E-2</v>
      </c>
      <c r="R51" s="11">
        <f>'Version 3 (GI3) on-line'!C12</f>
        <v>6.7567567567567571E-2</v>
      </c>
      <c r="S51" s="11">
        <f>'Version 3 (GI3) on-line'!D12</f>
        <v>0.10022522522522523</v>
      </c>
      <c r="T51" s="11">
        <f>'Version 3 (GI3) on-line'!E12</f>
        <v>0.29617117117117114</v>
      </c>
      <c r="U51" s="11">
        <f>'Version 3 (GI3) on-line'!F12</f>
        <v>0.15653153153153154</v>
      </c>
      <c r="V51" s="11">
        <f>'Version 3 (GI3) on-line'!G12</f>
        <v>0.13288288288288289</v>
      </c>
      <c r="W51" s="11">
        <f>'Version 3 (GI3) on-line'!H12</f>
        <v>7.9954954954954957E-2</v>
      </c>
      <c r="X51" s="11">
        <f>'Version 3 (GI3) on-line'!I12</f>
        <v>0.10472972972972973</v>
      </c>
      <c r="Y51" s="11">
        <f>'Version 3 (GI3) on-line'!J12</f>
        <v>1</v>
      </c>
      <c r="Z51" s="17">
        <f>SUM(Q51:T51)</f>
        <v>0.52590090090090091</v>
      </c>
    </row>
    <row r="52" spans="1:26" x14ac:dyDescent="0.25">
      <c r="A52" s="8" t="s">
        <v>88</v>
      </c>
      <c r="B52" s="15">
        <v>0.13333333333333333</v>
      </c>
      <c r="C52" s="15">
        <v>0.22222222222222221</v>
      </c>
      <c r="D52" s="15">
        <v>0.2857142857142857</v>
      </c>
      <c r="E52" s="15">
        <v>0.33333333333333331</v>
      </c>
      <c r="F52" s="16">
        <v>0.375</v>
      </c>
      <c r="G52" s="16">
        <v>0.41666666666666669</v>
      </c>
      <c r="H52" s="16">
        <v>0.44</v>
      </c>
      <c r="I52" s="16">
        <v>0.5</v>
      </c>
      <c r="P52" s="8" t="s">
        <v>88</v>
      </c>
      <c r="Q52" s="15">
        <v>0.133333333333333</v>
      </c>
      <c r="R52" s="15">
        <v>0.22222222222222221</v>
      </c>
      <c r="S52" s="15">
        <v>0.2857142857142857</v>
      </c>
      <c r="T52" s="15">
        <v>0.33333333333333331</v>
      </c>
      <c r="U52" s="16">
        <v>0.375</v>
      </c>
      <c r="V52" s="16">
        <v>0.41666666666666669</v>
      </c>
      <c r="W52" s="16">
        <v>0.44</v>
      </c>
      <c r="X52" s="16">
        <v>0.5</v>
      </c>
    </row>
    <row r="55" spans="1:26" x14ac:dyDescent="0.25">
      <c r="A55" t="s">
        <v>94</v>
      </c>
      <c r="K55" s="6" t="s">
        <v>97</v>
      </c>
      <c r="P55" t="s">
        <v>94</v>
      </c>
      <c r="Z55" s="6" t="s">
        <v>97</v>
      </c>
    </row>
    <row r="56" spans="1:26" x14ac:dyDescent="0.25">
      <c r="A56" t="s">
        <v>98</v>
      </c>
      <c r="B56" s="11">
        <f>K10</f>
        <v>1.8382352941176471E-2</v>
      </c>
      <c r="C56" s="11">
        <f>K9</f>
        <v>2.2058823529411766E-2</v>
      </c>
      <c r="D56" s="11">
        <f>K8</f>
        <v>9.1911764705882359E-2</v>
      </c>
      <c r="E56" s="11">
        <f>K7</f>
        <v>0.21691176470588236</v>
      </c>
      <c r="F56" s="11">
        <f>K6</f>
        <v>0.22794117647058823</v>
      </c>
      <c r="G56" s="11">
        <f>K5</f>
        <v>0.13235294117647059</v>
      </c>
      <c r="H56" s="11">
        <f>K4</f>
        <v>0.13602941176470587</v>
      </c>
      <c r="I56" s="11">
        <f>K3</f>
        <v>0.15441176470588236</v>
      </c>
      <c r="J56" s="11">
        <f>SUM(B56:I56)</f>
        <v>0.99999999999999989</v>
      </c>
      <c r="K56" s="17">
        <f>SUM(F56:I56)</f>
        <v>0.65073529411764708</v>
      </c>
      <c r="P56" t="s">
        <v>105</v>
      </c>
      <c r="Q56" s="11">
        <f>'Version 1 (GI1) on-line'!$K$10</f>
        <v>9.5588235294117641E-2</v>
      </c>
      <c r="R56" s="11">
        <f>'Version 1 (GI1) on-line'!K9</f>
        <v>4.8713235294117647E-2</v>
      </c>
      <c r="S56" s="11">
        <f>'Version 1 (GI1) on-line'!K8</f>
        <v>9.375E-2</v>
      </c>
      <c r="T56" s="11">
        <f>'Version 1 (GI1) on-line'!K7</f>
        <v>0.21323529411764705</v>
      </c>
      <c r="U56" s="11">
        <f>'Version 1 (GI1) on-line'!K6</f>
        <v>0.17095588235294118</v>
      </c>
      <c r="V56" s="11">
        <f>'Version 1 (GI1) on-line'!K5</f>
        <v>0.12132352941176471</v>
      </c>
      <c r="W56" s="11">
        <f>'Version 1 (GI1) on-line'!K4</f>
        <v>0.10386029411764706</v>
      </c>
      <c r="X56" s="11">
        <f>'Version 1 (GI1) on-line'!K3</f>
        <v>0.15257352941176472</v>
      </c>
      <c r="Y56" s="11">
        <f>SUM(Q56:X56)</f>
        <v>1</v>
      </c>
      <c r="Z56" s="17">
        <f>SUM(U56:X56)</f>
        <v>0.54871323529411775</v>
      </c>
    </row>
    <row r="57" spans="1:26" x14ac:dyDescent="0.25">
      <c r="A57" t="s">
        <v>99</v>
      </c>
      <c r="B57" s="11">
        <f>'Version 2 (GI2) on-site'!K10</f>
        <v>2.3026315789473683E-2</v>
      </c>
      <c r="C57" s="11">
        <f>'Version 2 (GI2) on-site'!K9</f>
        <v>7.2368421052631582E-2</v>
      </c>
      <c r="D57" s="11">
        <f>'Version 2 (GI2) on-site'!K8</f>
        <v>0.13486842105263158</v>
      </c>
      <c r="E57" s="11">
        <f>'Version 2 (GI2) on-site'!K7</f>
        <v>0.31907894736842107</v>
      </c>
      <c r="F57" s="11">
        <f>'Version 2 (GI2) on-site'!K6</f>
        <v>0.21710526315789475</v>
      </c>
      <c r="G57" s="11">
        <f>'Version 2 (GI2) on-site'!K5</f>
        <v>0.125</v>
      </c>
      <c r="H57" s="11">
        <f>'Version 2 (GI2) on-site'!K4</f>
        <v>5.2631578947368418E-2</v>
      </c>
      <c r="I57" s="11">
        <f>'Version 2 (GI2) on-site'!K3</f>
        <v>5.5921052631578948E-2</v>
      </c>
      <c r="J57" s="11">
        <f>SUM(B57:I57)</f>
        <v>1</v>
      </c>
      <c r="K57" s="17">
        <f>SUM(F57:I57)</f>
        <v>0.45065789473684209</v>
      </c>
      <c r="P57" t="s">
        <v>106</v>
      </c>
      <c r="Q57" s="11">
        <f>'Version 2 (GI2) on-line'!$K$10</f>
        <v>6.0267857142857144E-2</v>
      </c>
      <c r="R57" s="11">
        <f>'Version 2 (GI2) on-line'!$K$9</f>
        <v>6.25E-2</v>
      </c>
      <c r="S57" s="11">
        <f>'Version 2 (GI2) on-line'!$K$8</f>
        <v>0.10825892857142858</v>
      </c>
      <c r="T57" s="11">
        <f>'Version 2 (GI2) on-line'!$K$7</f>
        <v>0.2622767857142857</v>
      </c>
      <c r="U57" s="11">
        <f>'Version 2 (GI2) on-line'!$K$6</f>
        <v>0.140625</v>
      </c>
      <c r="V57" s="11">
        <f>'Version 2 (GI2) on-line'!$K$5</f>
        <v>0.12388392857142858</v>
      </c>
      <c r="W57" s="11">
        <f>'Version 2 (GI2) on-line'!$K$4</f>
        <v>7.4776785714285712E-2</v>
      </c>
      <c r="X57" s="11">
        <f>'Version 2 (GI2) on-line'!$K$3</f>
        <v>0.16741071428571427</v>
      </c>
      <c r="Y57" s="11">
        <f>SUM(Q57:X57)</f>
        <v>1</v>
      </c>
      <c r="Z57" s="17">
        <f>SUM(U57:X57)</f>
        <v>0.5066964285714286</v>
      </c>
    </row>
    <row r="58" spans="1:26" x14ac:dyDescent="0.25">
      <c r="A58" t="s">
        <v>100</v>
      </c>
      <c r="B58" s="11">
        <f>'Version 3 (GI3) on-site'!K10</f>
        <v>2.1874999999999999E-2</v>
      </c>
      <c r="C58" s="11">
        <f>'Version 3 (GI3) on-site'!K9</f>
        <v>5.6250000000000001E-2</v>
      </c>
      <c r="D58" s="11">
        <f>'Version 3 (GI3) on-site'!K8</f>
        <v>0.14687500000000001</v>
      </c>
      <c r="E58" s="11">
        <f>'Version 3 (GI3) on-site'!K7</f>
        <v>0.3</v>
      </c>
      <c r="F58" s="18">
        <f>'Version 3 (GI3) on-site'!K6</f>
        <v>0.1875</v>
      </c>
      <c r="G58" s="18">
        <f>'Version 3 (GI3) on-site'!K5</f>
        <v>0.13125000000000001</v>
      </c>
      <c r="H58" s="18">
        <f>'Version 3 (GI3) on-site'!K4</f>
        <v>7.4999999999999997E-2</v>
      </c>
      <c r="I58" s="18">
        <f>'Version 3 (GI3) on-site'!K3</f>
        <v>8.1250000000000003E-2</v>
      </c>
      <c r="J58" s="11">
        <f>SUM(B58:I58)</f>
        <v>1</v>
      </c>
      <c r="K58" s="17">
        <f>SUM(F58:I58)</f>
        <v>0.47499999999999998</v>
      </c>
      <c r="P58" t="s">
        <v>107</v>
      </c>
      <c r="Q58" s="11">
        <f>'Version 3 (GI3) on-line'!$K$10</f>
        <v>6.5315315315315314E-2</v>
      </c>
      <c r="R58" s="11">
        <f>'Version 3 (GI3) on-line'!$K$9</f>
        <v>6.3063063063063057E-2</v>
      </c>
      <c r="S58" s="11">
        <f>'Version 3 (GI3) on-line'!$K$8</f>
        <v>8.7837837837837843E-2</v>
      </c>
      <c r="T58" s="11">
        <f>'Version 3 (GI3) on-line'!$K$7</f>
        <v>0.26351351351351349</v>
      </c>
      <c r="U58" s="11">
        <f>'Version 3 (GI3) on-line'!$K$6</f>
        <v>0.15202702702702703</v>
      </c>
      <c r="V58" s="11">
        <f>'Version 3 (GI3) on-line'!$K$5</f>
        <v>0.13288288288288289</v>
      </c>
      <c r="W58" s="11">
        <f>'Version 3 (GI3) on-line'!$K$4</f>
        <v>9.6846846846846843E-2</v>
      </c>
      <c r="X58" s="11">
        <f>'Version 3 (GI3) on-line'!$K$3</f>
        <v>0.13851351351351351</v>
      </c>
      <c r="Y58" s="11">
        <f>SUM(Q58:X58)</f>
        <v>1</v>
      </c>
      <c r="Z58" s="17">
        <f>SUM(U58:X58)</f>
        <v>0.52027027027027029</v>
      </c>
    </row>
    <row r="59" spans="1:26" x14ac:dyDescent="0.25">
      <c r="A59" s="8" t="s">
        <v>88</v>
      </c>
      <c r="B59" s="16">
        <v>0.13333333333333333</v>
      </c>
      <c r="C59" s="16">
        <v>0.22222222222222221</v>
      </c>
      <c r="D59" s="16">
        <v>0.2857142857142857</v>
      </c>
      <c r="E59" s="16">
        <v>0.33333333333333331</v>
      </c>
      <c r="F59" s="15">
        <v>0.375</v>
      </c>
      <c r="G59" s="15">
        <v>0.41666666666666669</v>
      </c>
      <c r="H59" s="15">
        <v>0.44</v>
      </c>
      <c r="I59" s="15">
        <v>0.5</v>
      </c>
      <c r="P59" s="8" t="s">
        <v>88</v>
      </c>
      <c r="Q59" s="16">
        <v>0.13333333333333333</v>
      </c>
      <c r="R59" s="16">
        <v>0.22222222222222221</v>
      </c>
      <c r="S59" s="16">
        <v>0.2857142857142857</v>
      </c>
      <c r="T59" s="16">
        <v>0.33333333333333331</v>
      </c>
      <c r="U59" s="15">
        <v>0.375</v>
      </c>
      <c r="V59" s="15">
        <v>0.41666666666666669</v>
      </c>
      <c r="W59" s="15">
        <v>0.44</v>
      </c>
      <c r="X59" s="15">
        <v>0.5</v>
      </c>
    </row>
  </sheetData>
  <pageMargins left="0.7" right="0.7" top="0.75" bottom="0.75" header="0.3" footer="0.3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38"/>
  <sheetViews>
    <sheetView topLeftCell="BG18" workbookViewId="0">
      <selection activeCell="CA18" sqref="CA18"/>
    </sheetView>
  </sheetViews>
  <sheetFormatPr defaultColWidth="8.7109375" defaultRowHeight="15" x14ac:dyDescent="0.25"/>
  <cols>
    <col min="1" max="12" width="8.7109375" customWidth="1"/>
    <col min="13" max="13" width="24.42578125" customWidth="1"/>
    <col min="24" max="24" width="22.7109375" customWidth="1"/>
    <col min="27" max="27" width="9.28515625" bestFit="1" customWidth="1"/>
    <col min="35" max="35" width="20.5703125" customWidth="1"/>
    <col min="60" max="61" width="9.5703125" bestFit="1" customWidth="1"/>
  </cols>
  <sheetData>
    <row r="1" spans="1:38" x14ac:dyDescent="0.25">
      <c r="A1" s="1" t="s">
        <v>2</v>
      </c>
      <c r="J1" s="4" t="s">
        <v>58</v>
      </c>
      <c r="K1" s="4" t="s">
        <v>90</v>
      </c>
      <c r="M1" s="1" t="s">
        <v>291</v>
      </c>
      <c r="V1" s="4" t="s">
        <v>58</v>
      </c>
      <c r="W1" s="4" t="s">
        <v>90</v>
      </c>
    </row>
    <row r="2" spans="1:38" x14ac:dyDescent="0.25">
      <c r="A2" s="1" t="s">
        <v>61</v>
      </c>
      <c r="J2" s="4"/>
      <c r="K2" s="4"/>
      <c r="M2" s="1" t="s">
        <v>61</v>
      </c>
      <c r="V2" s="4"/>
      <c r="W2" s="4"/>
    </row>
    <row r="3" spans="1:38" x14ac:dyDescent="0.25">
      <c r="A3" s="2" t="s">
        <v>55</v>
      </c>
      <c r="B3">
        <v>0</v>
      </c>
      <c r="C3">
        <v>3</v>
      </c>
      <c r="D3">
        <v>5</v>
      </c>
      <c r="E3">
        <v>5</v>
      </c>
      <c r="F3">
        <v>4</v>
      </c>
      <c r="G3">
        <v>3</v>
      </c>
      <c r="H3">
        <v>0</v>
      </c>
      <c r="I3">
        <v>1</v>
      </c>
      <c r="J3" s="4">
        <f>SUM(B3:I3)</f>
        <v>21</v>
      </c>
      <c r="K3" s="12">
        <f>J3/J$11</f>
        <v>9.5454545454545459E-2</v>
      </c>
      <c r="M3" s="2" t="s">
        <v>55</v>
      </c>
      <c r="N3">
        <f>B3+'version 4 (LI) students only'!B3</f>
        <v>0</v>
      </c>
      <c r="O3">
        <f>C3+'version 4 (LI) students only'!C3</f>
        <v>4</v>
      </c>
      <c r="P3">
        <f>D3+'version 4 (LI) students only'!D3</f>
        <v>8</v>
      </c>
      <c r="Q3">
        <f>E3+'version 4 (LI) students only'!E3</f>
        <v>7</v>
      </c>
      <c r="R3">
        <f>F3+'version 4 (LI) students only'!F3</f>
        <v>4</v>
      </c>
      <c r="S3">
        <f>G3+'version 4 (LI) students only'!G3</f>
        <v>4</v>
      </c>
      <c r="T3">
        <f>H3+'version 4 (LI) students only'!H3</f>
        <v>1</v>
      </c>
      <c r="U3">
        <f>I3+'version 4 (LI) students only'!I3</f>
        <v>6</v>
      </c>
      <c r="V3" s="4">
        <f>SUM(N3:U3)</f>
        <v>34</v>
      </c>
      <c r="W3" s="12">
        <f>V3/V$11</f>
        <v>6.6929133858267723E-2</v>
      </c>
    </row>
    <row r="4" spans="1:38" x14ac:dyDescent="0.25">
      <c r="A4" s="3" t="s">
        <v>56</v>
      </c>
      <c r="B4">
        <v>0</v>
      </c>
      <c r="C4">
        <v>4</v>
      </c>
      <c r="D4">
        <v>0</v>
      </c>
      <c r="E4">
        <v>5</v>
      </c>
      <c r="F4">
        <v>5</v>
      </c>
      <c r="G4">
        <v>0</v>
      </c>
      <c r="H4">
        <v>1</v>
      </c>
      <c r="I4">
        <v>0</v>
      </c>
      <c r="J4" s="4">
        <f t="shared" ref="J4:J10" si="0">SUM(B4:I4)</f>
        <v>15</v>
      </c>
      <c r="K4" s="12">
        <f t="shared" ref="K4:K10" si="1">J4/J$11</f>
        <v>6.8181818181818177E-2</v>
      </c>
      <c r="M4" s="3" t="s">
        <v>56</v>
      </c>
      <c r="N4">
        <f>B4+'version 4 (LI) students only'!B4</f>
        <v>0</v>
      </c>
      <c r="O4">
        <f>C4+'version 4 (LI) students only'!C4</f>
        <v>5</v>
      </c>
      <c r="P4">
        <f>D4+'version 4 (LI) students only'!D4</f>
        <v>2</v>
      </c>
      <c r="Q4">
        <f>E4+'version 4 (LI) students only'!E4</f>
        <v>7</v>
      </c>
      <c r="R4">
        <f>F4+'version 4 (LI) students only'!F4</f>
        <v>6</v>
      </c>
      <c r="S4">
        <f>G4+'version 4 (LI) students only'!G4</f>
        <v>2</v>
      </c>
      <c r="T4">
        <f>H4+'version 4 (LI) students only'!H4</f>
        <v>1</v>
      </c>
      <c r="U4">
        <f>I4+'version 4 (LI) students only'!I4</f>
        <v>1</v>
      </c>
      <c r="V4" s="4">
        <f t="shared" ref="V4:V10" si="2">SUM(N4:U4)</f>
        <v>24</v>
      </c>
      <c r="W4" s="12">
        <f t="shared" ref="W4:W10" si="3">V4/V$11</f>
        <v>4.7244094488188976E-2</v>
      </c>
    </row>
    <row r="5" spans="1:38" x14ac:dyDescent="0.25">
      <c r="A5" t="s">
        <v>57</v>
      </c>
      <c r="B5">
        <v>0</v>
      </c>
      <c r="C5">
        <v>2</v>
      </c>
      <c r="D5">
        <v>13</v>
      </c>
      <c r="E5">
        <v>17</v>
      </c>
      <c r="F5">
        <v>12</v>
      </c>
      <c r="G5">
        <v>11</v>
      </c>
      <c r="H5">
        <v>2</v>
      </c>
      <c r="I5">
        <v>0</v>
      </c>
      <c r="J5" s="4">
        <f t="shared" si="0"/>
        <v>57</v>
      </c>
      <c r="K5" s="12">
        <f t="shared" si="1"/>
        <v>0.25909090909090909</v>
      </c>
      <c r="M5" t="s">
        <v>57</v>
      </c>
      <c r="N5">
        <f>B5+'version 4 (LI) students only'!B5</f>
        <v>0</v>
      </c>
      <c r="O5">
        <f>C5+'version 4 (LI) students only'!C5</f>
        <v>2</v>
      </c>
      <c r="P5">
        <f>D5+'version 4 (LI) students only'!D5</f>
        <v>24</v>
      </c>
      <c r="Q5">
        <f>E5+'version 4 (LI) students only'!E5</f>
        <v>34</v>
      </c>
      <c r="R5">
        <f>F5+'version 4 (LI) students only'!F5</f>
        <v>32</v>
      </c>
      <c r="S5">
        <f>G5+'version 4 (LI) students only'!G5</f>
        <v>18</v>
      </c>
      <c r="T5">
        <f>H5+'version 4 (LI) students only'!H5</f>
        <v>2</v>
      </c>
      <c r="U5">
        <f>I5+'version 4 (LI) students only'!I5</f>
        <v>0</v>
      </c>
      <c r="V5" s="4">
        <f t="shared" si="2"/>
        <v>112</v>
      </c>
      <c r="W5" s="12">
        <f t="shared" si="3"/>
        <v>0.22047244094488189</v>
      </c>
    </row>
    <row r="6" spans="1:38" x14ac:dyDescent="0.25">
      <c r="A6" t="s">
        <v>59</v>
      </c>
      <c r="B6">
        <v>0</v>
      </c>
      <c r="C6">
        <v>1</v>
      </c>
      <c r="D6">
        <v>7</v>
      </c>
      <c r="E6">
        <v>13</v>
      </c>
      <c r="F6">
        <v>4</v>
      </c>
      <c r="G6">
        <v>6</v>
      </c>
      <c r="H6">
        <v>0</v>
      </c>
      <c r="I6">
        <v>0</v>
      </c>
      <c r="J6" s="4">
        <f t="shared" si="0"/>
        <v>31</v>
      </c>
      <c r="K6" s="12">
        <f t="shared" si="1"/>
        <v>0.1409090909090909</v>
      </c>
      <c r="M6" t="s">
        <v>59</v>
      </c>
      <c r="N6">
        <f>B6+'version 4 (LI) students only'!B6</f>
        <v>0</v>
      </c>
      <c r="O6">
        <f>C6+'version 4 (LI) students only'!C6</f>
        <v>2</v>
      </c>
      <c r="P6">
        <f>D6+'version 4 (LI) students only'!D6</f>
        <v>12</v>
      </c>
      <c r="Q6">
        <f>E6+'version 4 (LI) students only'!E6</f>
        <v>47</v>
      </c>
      <c r="R6">
        <f>F6+'version 4 (LI) students only'!F6</f>
        <v>20</v>
      </c>
      <c r="S6">
        <f>G6+'version 4 (LI) students only'!G6</f>
        <v>14</v>
      </c>
      <c r="T6">
        <f>H6+'version 4 (LI) students only'!H6</f>
        <v>2</v>
      </c>
      <c r="U6">
        <f>I6+'version 4 (LI) students only'!I6</f>
        <v>0</v>
      </c>
      <c r="V6" s="4">
        <f t="shared" si="2"/>
        <v>97</v>
      </c>
      <c r="W6" s="12">
        <f t="shared" si="3"/>
        <v>0.19094488188976377</v>
      </c>
    </row>
    <row r="7" spans="1:38" x14ac:dyDescent="0.25">
      <c r="A7" t="s">
        <v>60</v>
      </c>
      <c r="B7">
        <v>1</v>
      </c>
      <c r="C7">
        <v>1</v>
      </c>
      <c r="D7">
        <v>14</v>
      </c>
      <c r="E7">
        <v>21</v>
      </c>
      <c r="F7">
        <v>7</v>
      </c>
      <c r="G7">
        <v>11</v>
      </c>
      <c r="H7">
        <v>1</v>
      </c>
      <c r="I7">
        <v>0</v>
      </c>
      <c r="J7" s="4">
        <f t="shared" si="0"/>
        <v>56</v>
      </c>
      <c r="K7" s="12">
        <f t="shared" si="1"/>
        <v>0.25454545454545452</v>
      </c>
      <c r="M7" t="s">
        <v>60</v>
      </c>
      <c r="N7">
        <f>B7+'version 4 (LI) students only'!B7</f>
        <v>1</v>
      </c>
      <c r="O7">
        <f>C7+'version 4 (LI) students only'!C7</f>
        <v>6</v>
      </c>
      <c r="P7">
        <f>D7+'version 4 (LI) students only'!D7</f>
        <v>32</v>
      </c>
      <c r="Q7">
        <f>E7+'version 4 (LI) students only'!E7</f>
        <v>76</v>
      </c>
      <c r="R7">
        <f>F7+'version 4 (LI) students only'!F7</f>
        <v>16</v>
      </c>
      <c r="S7">
        <f>G7+'version 4 (LI) students only'!G7</f>
        <v>12</v>
      </c>
      <c r="T7">
        <f>H7+'version 4 (LI) students only'!H7</f>
        <v>5</v>
      </c>
      <c r="U7">
        <f>I7+'version 4 (LI) students only'!I7</f>
        <v>0</v>
      </c>
      <c r="V7" s="4">
        <f t="shared" si="2"/>
        <v>148</v>
      </c>
      <c r="W7" s="12">
        <f t="shared" si="3"/>
        <v>0.29133858267716534</v>
      </c>
    </row>
    <row r="8" spans="1:38" x14ac:dyDescent="0.25">
      <c r="A8" t="s">
        <v>62</v>
      </c>
      <c r="B8">
        <v>0</v>
      </c>
      <c r="C8">
        <v>1</v>
      </c>
      <c r="D8">
        <v>11</v>
      </c>
      <c r="E8">
        <v>5</v>
      </c>
      <c r="F8">
        <v>2</v>
      </c>
      <c r="G8">
        <v>8</v>
      </c>
      <c r="H8">
        <v>2</v>
      </c>
      <c r="I8">
        <v>0</v>
      </c>
      <c r="J8" s="4">
        <f t="shared" si="0"/>
        <v>29</v>
      </c>
      <c r="K8" s="12">
        <f t="shared" si="1"/>
        <v>0.13181818181818181</v>
      </c>
      <c r="M8" t="s">
        <v>62</v>
      </c>
      <c r="N8">
        <f>B8+'version 4 (LI) students only'!B8</f>
        <v>0</v>
      </c>
      <c r="O8">
        <f>C8+'version 4 (LI) students only'!C8</f>
        <v>3</v>
      </c>
      <c r="P8">
        <f>D8+'version 4 (LI) students only'!D8</f>
        <v>27</v>
      </c>
      <c r="Q8">
        <f>E8+'version 4 (LI) students only'!E8</f>
        <v>15</v>
      </c>
      <c r="R8">
        <f>F8+'version 4 (LI) students only'!F8</f>
        <v>2</v>
      </c>
      <c r="S8">
        <f>G8+'version 4 (LI) students only'!G8</f>
        <v>9</v>
      </c>
      <c r="T8">
        <f>H8+'version 4 (LI) students only'!H8</f>
        <v>2</v>
      </c>
      <c r="U8">
        <f>I8+'version 4 (LI) students only'!I8</f>
        <v>0</v>
      </c>
      <c r="V8" s="4">
        <f t="shared" si="2"/>
        <v>58</v>
      </c>
      <c r="W8" s="12">
        <f t="shared" si="3"/>
        <v>0.1141732283464567</v>
      </c>
    </row>
    <row r="9" spans="1:38" x14ac:dyDescent="0.25">
      <c r="A9" t="s">
        <v>63</v>
      </c>
      <c r="B9">
        <v>1</v>
      </c>
      <c r="C9">
        <v>1</v>
      </c>
      <c r="D9">
        <v>3</v>
      </c>
      <c r="E9">
        <v>1</v>
      </c>
      <c r="F9">
        <v>1</v>
      </c>
      <c r="G9">
        <v>2</v>
      </c>
      <c r="H9">
        <v>0</v>
      </c>
      <c r="I9">
        <v>0</v>
      </c>
      <c r="J9" s="4">
        <f t="shared" si="0"/>
        <v>9</v>
      </c>
      <c r="K9" s="12">
        <f t="shared" si="1"/>
        <v>4.0909090909090909E-2</v>
      </c>
      <c r="M9" t="s">
        <v>63</v>
      </c>
      <c r="N9">
        <f>B9+'version 4 (LI) students only'!B9</f>
        <v>1</v>
      </c>
      <c r="O9">
        <f>C9+'version 4 (LI) students only'!C9</f>
        <v>10</v>
      </c>
      <c r="P9">
        <f>D9+'version 4 (LI) students only'!D9</f>
        <v>10</v>
      </c>
      <c r="Q9">
        <f>E9+'version 4 (LI) students only'!E9</f>
        <v>5</v>
      </c>
      <c r="R9">
        <f>F9+'version 4 (LI) students only'!F9</f>
        <v>1</v>
      </c>
      <c r="S9">
        <f>G9+'version 4 (LI) students only'!G9</f>
        <v>3</v>
      </c>
      <c r="T9">
        <f>H9+'version 4 (LI) students only'!H9</f>
        <v>0</v>
      </c>
      <c r="U9">
        <f>I9+'version 4 (LI) students only'!I9</f>
        <v>0</v>
      </c>
      <c r="V9" s="4">
        <f t="shared" si="2"/>
        <v>30</v>
      </c>
      <c r="W9" s="12">
        <f t="shared" si="3"/>
        <v>5.905511811023622E-2</v>
      </c>
    </row>
    <row r="10" spans="1:38" x14ac:dyDescent="0.25">
      <c r="A10" t="s">
        <v>64</v>
      </c>
      <c r="B10">
        <v>0</v>
      </c>
      <c r="C10">
        <v>0</v>
      </c>
      <c r="D10">
        <v>0</v>
      </c>
      <c r="E10">
        <v>1</v>
      </c>
      <c r="F10">
        <v>1</v>
      </c>
      <c r="G10">
        <v>0</v>
      </c>
      <c r="H10">
        <v>0</v>
      </c>
      <c r="I10">
        <v>0</v>
      </c>
      <c r="J10" s="4">
        <f t="shared" si="0"/>
        <v>2</v>
      </c>
      <c r="K10" s="12">
        <f t="shared" si="1"/>
        <v>9.0909090909090905E-3</v>
      </c>
      <c r="M10" t="s">
        <v>64</v>
      </c>
      <c r="N10">
        <f>B10+'version 4 (LI) students only'!B10</f>
        <v>0</v>
      </c>
      <c r="O10">
        <f>C10+'version 4 (LI) students only'!C10</f>
        <v>1</v>
      </c>
      <c r="P10">
        <f>D10+'version 4 (LI) students only'!D10</f>
        <v>0</v>
      </c>
      <c r="Q10">
        <f>E10+'version 4 (LI) students only'!E10</f>
        <v>1</v>
      </c>
      <c r="R10">
        <f>F10+'version 4 (LI) students only'!F10</f>
        <v>1</v>
      </c>
      <c r="S10">
        <f>G10+'version 4 (LI) students only'!G10</f>
        <v>0</v>
      </c>
      <c r="T10">
        <f>H10+'version 4 (LI) students only'!H10</f>
        <v>1</v>
      </c>
      <c r="U10">
        <f>I10+'version 4 (LI) students only'!I10</f>
        <v>1</v>
      </c>
      <c r="V10" s="4">
        <f t="shared" si="2"/>
        <v>5</v>
      </c>
      <c r="W10" s="12">
        <f t="shared" si="3"/>
        <v>9.8425196850393699E-3</v>
      </c>
    </row>
    <row r="11" spans="1:38" x14ac:dyDescent="0.25">
      <c r="A11" s="5" t="s">
        <v>65</v>
      </c>
      <c r="B11" s="6">
        <f>SUM(B3:B10)</f>
        <v>2</v>
      </c>
      <c r="C11" s="6">
        <f t="shared" ref="C11:I11" si="4">SUM(C3:C10)</f>
        <v>13</v>
      </c>
      <c r="D11" s="6">
        <f t="shared" si="4"/>
        <v>53</v>
      </c>
      <c r="E11" s="6">
        <f t="shared" si="4"/>
        <v>68</v>
      </c>
      <c r="F11" s="6">
        <f t="shared" si="4"/>
        <v>36</v>
      </c>
      <c r="G11" s="6">
        <f t="shared" si="4"/>
        <v>41</v>
      </c>
      <c r="H11" s="6">
        <f t="shared" si="4"/>
        <v>6</v>
      </c>
      <c r="I11" s="6">
        <f t="shared" si="4"/>
        <v>1</v>
      </c>
      <c r="J11" s="4">
        <f>SUM(J3:J10)</f>
        <v>220</v>
      </c>
      <c r="K11" s="4"/>
      <c r="M11" s="5" t="s">
        <v>65</v>
      </c>
      <c r="N11" s="6">
        <f>SUM(N3:N10)</f>
        <v>2</v>
      </c>
      <c r="O11" s="6">
        <f t="shared" ref="O11:U11" si="5">SUM(O3:O10)</f>
        <v>33</v>
      </c>
      <c r="P11" s="6">
        <f t="shared" si="5"/>
        <v>115</v>
      </c>
      <c r="Q11" s="6">
        <f t="shared" si="5"/>
        <v>192</v>
      </c>
      <c r="R11" s="6">
        <f t="shared" si="5"/>
        <v>82</v>
      </c>
      <c r="S11" s="6">
        <f t="shared" si="5"/>
        <v>62</v>
      </c>
      <c r="T11" s="6">
        <f t="shared" si="5"/>
        <v>14</v>
      </c>
      <c r="U11" s="6">
        <f t="shared" si="5"/>
        <v>8</v>
      </c>
      <c r="V11" s="4">
        <f>SUM(V3:V10)</f>
        <v>508</v>
      </c>
      <c r="W11" s="4"/>
    </row>
    <row r="12" spans="1:38" x14ac:dyDescent="0.25">
      <c r="A12" s="5" t="s">
        <v>91</v>
      </c>
      <c r="B12" s="13">
        <f>B11/$J$11</f>
        <v>9.0909090909090905E-3</v>
      </c>
      <c r="C12" s="13">
        <f t="shared" ref="C12:I12" si="6">C11/$J$11</f>
        <v>5.909090909090909E-2</v>
      </c>
      <c r="D12" s="13">
        <f t="shared" si="6"/>
        <v>0.24090909090909091</v>
      </c>
      <c r="E12" s="13">
        <f t="shared" si="6"/>
        <v>0.30909090909090908</v>
      </c>
      <c r="F12" s="13">
        <f t="shared" si="6"/>
        <v>0.16363636363636364</v>
      </c>
      <c r="G12" s="13">
        <f t="shared" si="6"/>
        <v>0.18636363636363637</v>
      </c>
      <c r="H12" s="13">
        <f t="shared" si="6"/>
        <v>2.7272727272727271E-2</v>
      </c>
      <c r="I12" s="13">
        <f t="shared" si="6"/>
        <v>4.5454545454545452E-3</v>
      </c>
      <c r="J12" s="19">
        <f>SUM(B12:I12)</f>
        <v>0.99999999999999989</v>
      </c>
      <c r="K12" s="4"/>
      <c r="M12" s="5" t="s">
        <v>91</v>
      </c>
      <c r="N12" s="13">
        <f>N11/$V$11</f>
        <v>3.937007874015748E-3</v>
      </c>
      <c r="O12" s="13">
        <f t="shared" ref="O12:U12" si="7">O11/$V$11</f>
        <v>6.4960629921259838E-2</v>
      </c>
      <c r="P12" s="13">
        <f t="shared" si="7"/>
        <v>0.2263779527559055</v>
      </c>
      <c r="Q12" s="13">
        <f t="shared" si="7"/>
        <v>0.37795275590551181</v>
      </c>
      <c r="R12" s="13">
        <f t="shared" si="7"/>
        <v>0.16141732283464566</v>
      </c>
      <c r="S12" s="13">
        <f t="shared" si="7"/>
        <v>0.12204724409448819</v>
      </c>
      <c r="T12" s="13">
        <f t="shared" si="7"/>
        <v>2.7559055118110236E-2</v>
      </c>
      <c r="U12" s="13">
        <f t="shared" si="7"/>
        <v>1.5748031496062992E-2</v>
      </c>
      <c r="V12" s="19">
        <f>SUM(N12:U12)</f>
        <v>0.99999999999999978</v>
      </c>
      <c r="W12" s="4"/>
    </row>
    <row r="13" spans="1:38" x14ac:dyDescent="0.25">
      <c r="A13" s="5" t="s">
        <v>88</v>
      </c>
      <c r="B13" s="6" t="s">
        <v>64</v>
      </c>
      <c r="C13" s="6" t="s">
        <v>63</v>
      </c>
      <c r="D13" s="6" t="s">
        <v>62</v>
      </c>
      <c r="E13" s="6" t="s">
        <v>60</v>
      </c>
      <c r="F13" s="6" t="s">
        <v>59</v>
      </c>
      <c r="G13" s="6" t="s">
        <v>57</v>
      </c>
      <c r="H13" s="6" t="s">
        <v>89</v>
      </c>
      <c r="I13" s="6" t="s">
        <v>55</v>
      </c>
      <c r="J13" s="4"/>
      <c r="K13" s="4"/>
      <c r="M13" s="5" t="s">
        <v>88</v>
      </c>
      <c r="N13" s="6" t="s">
        <v>64</v>
      </c>
      <c r="O13" s="6" t="s">
        <v>63</v>
      </c>
      <c r="P13" s="6" t="s">
        <v>62</v>
      </c>
      <c r="Q13" s="6" t="s">
        <v>60</v>
      </c>
      <c r="R13" s="6" t="s">
        <v>59</v>
      </c>
      <c r="S13" s="6" t="s">
        <v>57</v>
      </c>
      <c r="T13" s="6" t="s">
        <v>89</v>
      </c>
      <c r="U13" s="6" t="s">
        <v>55</v>
      </c>
      <c r="V13" s="4"/>
      <c r="W13" s="4"/>
    </row>
    <row r="14" spans="1:38" x14ac:dyDescent="0.25">
      <c r="A14" s="8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M14" s="8" t="s">
        <v>108</v>
      </c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38" x14ac:dyDescent="0.25">
      <c r="A15" s="1" t="s">
        <v>61</v>
      </c>
      <c r="J15" s="4"/>
      <c r="K15" s="4"/>
      <c r="M15" s="1" t="s">
        <v>61</v>
      </c>
      <c r="V15" s="4"/>
      <c r="W15" s="4"/>
      <c r="Y15" t="s">
        <v>202</v>
      </c>
      <c r="AE15" t="s">
        <v>213</v>
      </c>
      <c r="AJ15" t="s">
        <v>153</v>
      </c>
    </row>
    <row r="16" spans="1:38" x14ac:dyDescent="0.25">
      <c r="A16" s="2" t="s">
        <v>55</v>
      </c>
      <c r="B16" s="28">
        <f t="shared" ref="B16:I23" si="8">B3/$J$11</f>
        <v>0</v>
      </c>
      <c r="C16" s="28">
        <f t="shared" si="8"/>
        <v>1.3636363636363636E-2</v>
      </c>
      <c r="D16" s="28">
        <f t="shared" si="8"/>
        <v>2.2727272727272728E-2</v>
      </c>
      <c r="E16" s="28">
        <f t="shared" si="8"/>
        <v>2.2727272727272728E-2</v>
      </c>
      <c r="F16" s="28">
        <f t="shared" si="8"/>
        <v>1.8181818181818181E-2</v>
      </c>
      <c r="G16" s="28">
        <f t="shared" si="8"/>
        <v>1.3636363636363636E-2</v>
      </c>
      <c r="H16" s="28">
        <f t="shared" si="8"/>
        <v>0</v>
      </c>
      <c r="I16" s="28">
        <f t="shared" si="8"/>
        <v>4.5454545454545452E-3</v>
      </c>
      <c r="J16" s="12">
        <f>SUM(B16:I16)</f>
        <v>9.5454545454545459E-2</v>
      </c>
      <c r="K16" s="12"/>
      <c r="M16" s="2" t="s">
        <v>55</v>
      </c>
      <c r="N16" s="20">
        <f>N3/$V$11</f>
        <v>0</v>
      </c>
      <c r="O16" s="20">
        <f t="shared" ref="O16:U16" si="9">O3/$V$11</f>
        <v>7.874015748031496E-3</v>
      </c>
      <c r="P16" s="20">
        <f t="shared" si="9"/>
        <v>1.5748031496062992E-2</v>
      </c>
      <c r="Q16" s="20">
        <f t="shared" si="9"/>
        <v>1.3779527559055118E-2</v>
      </c>
      <c r="R16" s="20">
        <f t="shared" si="9"/>
        <v>7.874015748031496E-3</v>
      </c>
      <c r="S16" s="20">
        <f t="shared" si="9"/>
        <v>7.874015748031496E-3</v>
      </c>
      <c r="T16" s="20">
        <f t="shared" si="9"/>
        <v>1.968503937007874E-3</v>
      </c>
      <c r="U16" s="20">
        <f t="shared" si="9"/>
        <v>1.1811023622047244E-2</v>
      </c>
      <c r="V16" s="12">
        <f>SUM(N16:U16)</f>
        <v>6.6929133858267709E-2</v>
      </c>
      <c r="W16" s="12"/>
      <c r="X16" s="41" t="s">
        <v>167</v>
      </c>
      <c r="Y16" t="s">
        <v>203</v>
      </c>
      <c r="Z16" t="s">
        <v>204</v>
      </c>
      <c r="AA16" t="s">
        <v>212</v>
      </c>
      <c r="AD16" s="41" t="s">
        <v>167</v>
      </c>
      <c r="AE16" t="s">
        <v>203</v>
      </c>
      <c r="AF16" t="s">
        <v>214</v>
      </c>
      <c r="AG16" t="s">
        <v>212</v>
      </c>
      <c r="AJ16" t="s">
        <v>145</v>
      </c>
      <c r="AK16" t="s">
        <v>146</v>
      </c>
      <c r="AL16" t="s">
        <v>150</v>
      </c>
    </row>
    <row r="17" spans="1:68" x14ac:dyDescent="0.25">
      <c r="A17" s="3" t="s">
        <v>56</v>
      </c>
      <c r="B17" s="28">
        <f t="shared" si="8"/>
        <v>0</v>
      </c>
      <c r="C17" s="28">
        <f t="shared" si="8"/>
        <v>1.8181818181818181E-2</v>
      </c>
      <c r="D17" s="28">
        <f t="shared" si="8"/>
        <v>0</v>
      </c>
      <c r="E17" s="28">
        <f t="shared" si="8"/>
        <v>2.2727272727272728E-2</v>
      </c>
      <c r="F17" s="28">
        <f t="shared" si="8"/>
        <v>2.2727272727272728E-2</v>
      </c>
      <c r="G17" s="28">
        <f t="shared" si="8"/>
        <v>0</v>
      </c>
      <c r="H17" s="28">
        <f t="shared" si="8"/>
        <v>4.5454545454545452E-3</v>
      </c>
      <c r="I17" s="28">
        <f t="shared" si="8"/>
        <v>0</v>
      </c>
      <c r="J17" s="12">
        <f t="shared" ref="J17:J23" si="10">SUM(B17:I17)</f>
        <v>6.8181818181818177E-2</v>
      </c>
      <c r="K17" s="12"/>
      <c r="M17" s="3" t="s">
        <v>56</v>
      </c>
      <c r="N17" s="20">
        <f t="shared" ref="N17:U23" si="11">N4/$V$11</f>
        <v>0</v>
      </c>
      <c r="O17" s="20">
        <f t="shared" si="11"/>
        <v>9.8425196850393699E-3</v>
      </c>
      <c r="P17" s="20">
        <f t="shared" si="11"/>
        <v>3.937007874015748E-3</v>
      </c>
      <c r="Q17" s="20">
        <f t="shared" si="11"/>
        <v>1.3779527559055118E-2</v>
      </c>
      <c r="R17" s="20">
        <f t="shared" si="11"/>
        <v>1.1811023622047244E-2</v>
      </c>
      <c r="S17" s="20">
        <f t="shared" si="11"/>
        <v>3.937007874015748E-3</v>
      </c>
      <c r="T17" s="20">
        <f t="shared" si="11"/>
        <v>1.968503937007874E-3</v>
      </c>
      <c r="U17" s="20">
        <f t="shared" si="11"/>
        <v>1.968503937007874E-3</v>
      </c>
      <c r="V17" s="12">
        <f t="shared" ref="V17:V23" si="12">SUM(N17:U17)</f>
        <v>4.7244094488188976E-2</v>
      </c>
      <c r="W17" s="12"/>
      <c r="X17">
        <v>1</v>
      </c>
      <c r="Y17" s="35">
        <f>B24</f>
        <v>9.0909090909090905E-3</v>
      </c>
      <c r="Z17" s="35">
        <f>J23</f>
        <v>9.0909090909090905E-3</v>
      </c>
      <c r="AA17" s="35">
        <f>ABS(Y17-Z17)</f>
        <v>0</v>
      </c>
      <c r="AD17">
        <v>1</v>
      </c>
      <c r="AE17" s="35">
        <f>Y17</f>
        <v>9.0909090909090905E-3</v>
      </c>
      <c r="AF17" s="35">
        <f>J16</f>
        <v>9.5454545454545459E-2</v>
      </c>
      <c r="AG17" s="35">
        <f>ABS(AE17-AF17)</f>
        <v>8.6363636363636365E-2</v>
      </c>
      <c r="AJ17">
        <v>0.1</v>
      </c>
      <c r="AK17">
        <v>1.22</v>
      </c>
      <c r="AL17">
        <f>SQRT((AJ22+AJ23)/(AJ22*AJ23))</f>
        <v>0.19069251784911845</v>
      </c>
      <c r="AM17">
        <f>PRODUCT(AL17, AK17)</f>
        <v>0.23264487177592449</v>
      </c>
    </row>
    <row r="18" spans="1:68" x14ac:dyDescent="0.25">
      <c r="A18" t="s">
        <v>57</v>
      </c>
      <c r="B18" s="28">
        <f t="shared" si="8"/>
        <v>0</v>
      </c>
      <c r="C18" s="28">
        <f t="shared" si="8"/>
        <v>9.0909090909090905E-3</v>
      </c>
      <c r="D18" s="28">
        <f t="shared" si="8"/>
        <v>5.909090909090909E-2</v>
      </c>
      <c r="E18" s="28">
        <f t="shared" si="8"/>
        <v>7.7272727272727271E-2</v>
      </c>
      <c r="F18" s="28">
        <f t="shared" si="8"/>
        <v>5.4545454545454543E-2</v>
      </c>
      <c r="G18" s="28">
        <f t="shared" si="8"/>
        <v>0.05</v>
      </c>
      <c r="H18" s="28">
        <f t="shared" si="8"/>
        <v>9.0909090909090905E-3</v>
      </c>
      <c r="I18" s="28">
        <f t="shared" si="8"/>
        <v>0</v>
      </c>
      <c r="J18" s="12">
        <f t="shared" si="10"/>
        <v>0.25909090909090909</v>
      </c>
      <c r="K18" s="12"/>
      <c r="M18" t="s">
        <v>57</v>
      </c>
      <c r="N18" s="20">
        <f t="shared" si="11"/>
        <v>0</v>
      </c>
      <c r="O18" s="20">
        <f t="shared" si="11"/>
        <v>3.937007874015748E-3</v>
      </c>
      <c r="P18" s="20">
        <f t="shared" si="11"/>
        <v>4.7244094488188976E-2</v>
      </c>
      <c r="Q18" s="20">
        <f t="shared" si="11"/>
        <v>6.6929133858267723E-2</v>
      </c>
      <c r="R18" s="20">
        <f t="shared" si="11"/>
        <v>6.2992125984251968E-2</v>
      </c>
      <c r="S18" s="20">
        <f t="shared" si="11"/>
        <v>3.5433070866141732E-2</v>
      </c>
      <c r="T18" s="20">
        <f t="shared" si="11"/>
        <v>3.937007874015748E-3</v>
      </c>
      <c r="U18" s="20">
        <f t="shared" si="11"/>
        <v>0</v>
      </c>
      <c r="V18" s="12">
        <f t="shared" si="12"/>
        <v>0.22047244094488189</v>
      </c>
      <c r="W18" s="12"/>
      <c r="X18" t="s">
        <v>205</v>
      </c>
      <c r="Y18" s="35">
        <f>B24+C24</f>
        <v>6.8181818181818191E-2</v>
      </c>
      <c r="Z18" s="35">
        <f>J23+J22</f>
        <v>0.05</v>
      </c>
      <c r="AA18" s="35">
        <f t="shared" ref="AA18:AA24" si="13">ABS(Y18-Z18)</f>
        <v>1.8181818181818188E-2</v>
      </c>
      <c r="AD18" t="s">
        <v>205</v>
      </c>
      <c r="AE18" s="35">
        <f t="shared" ref="AE18:AE24" si="14">Y18</f>
        <v>6.8181818181818191E-2</v>
      </c>
      <c r="AF18" s="35">
        <f>J16+J17</f>
        <v>0.16363636363636364</v>
      </c>
      <c r="AG18" s="35">
        <f t="shared" ref="AG18:AG24" si="15">ABS(AE18-AF18)</f>
        <v>9.5454545454545445E-2</v>
      </c>
      <c r="AJ18">
        <v>0.05</v>
      </c>
      <c r="AK18">
        <v>1.36</v>
      </c>
      <c r="AM18">
        <f>AL17*AK18</f>
        <v>0.25934182427480112</v>
      </c>
    </row>
    <row r="19" spans="1:68" x14ac:dyDescent="0.25">
      <c r="A19" t="s">
        <v>59</v>
      </c>
      <c r="B19" s="28">
        <f t="shared" si="8"/>
        <v>0</v>
      </c>
      <c r="C19" s="28">
        <f t="shared" si="8"/>
        <v>4.5454545454545452E-3</v>
      </c>
      <c r="D19" s="28">
        <f t="shared" si="8"/>
        <v>3.1818181818181815E-2</v>
      </c>
      <c r="E19" s="28">
        <f t="shared" si="8"/>
        <v>5.909090909090909E-2</v>
      </c>
      <c r="F19" s="28">
        <f t="shared" si="8"/>
        <v>1.8181818181818181E-2</v>
      </c>
      <c r="G19" s="28">
        <f t="shared" si="8"/>
        <v>2.7272727272727271E-2</v>
      </c>
      <c r="H19" s="28">
        <f t="shared" si="8"/>
        <v>0</v>
      </c>
      <c r="I19" s="28">
        <f t="shared" si="8"/>
        <v>0</v>
      </c>
      <c r="J19" s="12">
        <f t="shared" si="10"/>
        <v>0.14090909090909093</v>
      </c>
      <c r="K19" s="12"/>
      <c r="M19" t="s">
        <v>59</v>
      </c>
      <c r="N19" s="20">
        <f t="shared" si="11"/>
        <v>0</v>
      </c>
      <c r="O19" s="20">
        <f t="shared" si="11"/>
        <v>3.937007874015748E-3</v>
      </c>
      <c r="P19" s="20">
        <f t="shared" si="11"/>
        <v>2.3622047244094488E-2</v>
      </c>
      <c r="Q19" s="20">
        <f t="shared" si="11"/>
        <v>9.2519685039370081E-2</v>
      </c>
      <c r="R19" s="20">
        <f t="shared" si="11"/>
        <v>3.937007874015748E-2</v>
      </c>
      <c r="S19" s="20">
        <f t="shared" si="11"/>
        <v>2.7559055118110236E-2</v>
      </c>
      <c r="T19" s="20">
        <f t="shared" si="11"/>
        <v>3.937007874015748E-3</v>
      </c>
      <c r="U19" s="20">
        <f t="shared" si="11"/>
        <v>0</v>
      </c>
      <c r="V19" s="12">
        <f t="shared" si="12"/>
        <v>0.19094488188976377</v>
      </c>
      <c r="W19" s="12"/>
      <c r="X19" t="s">
        <v>206</v>
      </c>
      <c r="Y19" s="35">
        <f>B24+C24+D24</f>
        <v>0.30909090909090908</v>
      </c>
      <c r="Z19" s="35">
        <f>J23+J22+J21</f>
        <v>0.18181818181818182</v>
      </c>
      <c r="AA19" s="35">
        <f t="shared" si="13"/>
        <v>0.12727272727272726</v>
      </c>
      <c r="AD19" t="s">
        <v>206</v>
      </c>
      <c r="AE19" s="35">
        <f t="shared" si="14"/>
        <v>0.30909090909090908</v>
      </c>
      <c r="AF19" s="35">
        <f>J16+J17+J18</f>
        <v>0.42272727272727273</v>
      </c>
      <c r="AG19" s="35">
        <f t="shared" si="15"/>
        <v>0.11363636363636365</v>
      </c>
      <c r="AJ19">
        <v>0.01</v>
      </c>
      <c r="AK19">
        <v>1.63</v>
      </c>
      <c r="AM19">
        <f>AL17*AK19</f>
        <v>0.31082880409406305</v>
      </c>
    </row>
    <row r="20" spans="1:68" x14ac:dyDescent="0.25">
      <c r="A20" t="s">
        <v>60</v>
      </c>
      <c r="B20" s="28">
        <f t="shared" si="8"/>
        <v>4.5454545454545452E-3</v>
      </c>
      <c r="C20" s="28">
        <f t="shared" si="8"/>
        <v>4.5454545454545452E-3</v>
      </c>
      <c r="D20" s="28">
        <f t="shared" si="8"/>
        <v>6.363636363636363E-2</v>
      </c>
      <c r="E20" s="28">
        <f t="shared" si="8"/>
        <v>9.5454545454545459E-2</v>
      </c>
      <c r="F20" s="28">
        <f t="shared" si="8"/>
        <v>3.1818181818181815E-2</v>
      </c>
      <c r="G20" s="28">
        <f t="shared" si="8"/>
        <v>0.05</v>
      </c>
      <c r="H20" s="28">
        <f t="shared" si="8"/>
        <v>4.5454545454545452E-3</v>
      </c>
      <c r="I20" s="28">
        <f t="shared" si="8"/>
        <v>0</v>
      </c>
      <c r="J20" s="12">
        <f t="shared" si="10"/>
        <v>0.25454545454545452</v>
      </c>
      <c r="K20" s="12"/>
      <c r="M20" t="s">
        <v>60</v>
      </c>
      <c r="N20" s="20">
        <f t="shared" si="11"/>
        <v>1.968503937007874E-3</v>
      </c>
      <c r="O20" s="20">
        <f t="shared" si="11"/>
        <v>1.1811023622047244E-2</v>
      </c>
      <c r="P20" s="20">
        <f t="shared" si="11"/>
        <v>6.2992125984251968E-2</v>
      </c>
      <c r="Q20" s="20">
        <f t="shared" si="11"/>
        <v>0.14960629921259844</v>
      </c>
      <c r="R20" s="20">
        <f t="shared" si="11"/>
        <v>3.1496062992125984E-2</v>
      </c>
      <c r="S20" s="20">
        <f t="shared" si="11"/>
        <v>2.3622047244094488E-2</v>
      </c>
      <c r="T20" s="20">
        <f t="shared" si="11"/>
        <v>9.8425196850393699E-3</v>
      </c>
      <c r="U20" s="20">
        <f t="shared" si="11"/>
        <v>0</v>
      </c>
      <c r="V20" s="12">
        <f t="shared" si="12"/>
        <v>0.29133858267716534</v>
      </c>
      <c r="W20" s="12"/>
      <c r="X20" t="s">
        <v>207</v>
      </c>
      <c r="Y20" s="35">
        <f>B24+C24+D24+E24</f>
        <v>0.61818181818181817</v>
      </c>
      <c r="Z20" s="35">
        <f>J23+J22+J21+J20</f>
        <v>0.43636363636363634</v>
      </c>
      <c r="AA20" s="35">
        <f t="shared" si="13"/>
        <v>0.18181818181818182</v>
      </c>
      <c r="AD20" t="s">
        <v>207</v>
      </c>
      <c r="AE20" s="35">
        <f t="shared" si="14"/>
        <v>0.61818181818181817</v>
      </c>
      <c r="AF20" s="35">
        <f>J16+J17+J18+J19</f>
        <v>0.56363636363636371</v>
      </c>
      <c r="AG20" s="35">
        <f t="shared" si="15"/>
        <v>5.4545454545454453E-2</v>
      </c>
    </row>
    <row r="21" spans="1:68" x14ac:dyDescent="0.25">
      <c r="A21" t="s">
        <v>62</v>
      </c>
      <c r="B21" s="28">
        <f t="shared" si="8"/>
        <v>0</v>
      </c>
      <c r="C21" s="28">
        <f t="shared" si="8"/>
        <v>4.5454545454545452E-3</v>
      </c>
      <c r="D21" s="28">
        <f t="shared" si="8"/>
        <v>0.05</v>
      </c>
      <c r="E21" s="28">
        <f t="shared" si="8"/>
        <v>2.2727272727272728E-2</v>
      </c>
      <c r="F21" s="28">
        <f t="shared" si="8"/>
        <v>9.0909090909090905E-3</v>
      </c>
      <c r="G21" s="28">
        <f t="shared" si="8"/>
        <v>3.6363636363636362E-2</v>
      </c>
      <c r="H21" s="28">
        <f t="shared" si="8"/>
        <v>9.0909090909090905E-3</v>
      </c>
      <c r="I21" s="28">
        <f t="shared" si="8"/>
        <v>0</v>
      </c>
      <c r="J21" s="12">
        <f t="shared" si="10"/>
        <v>0.13181818181818181</v>
      </c>
      <c r="K21" s="12"/>
      <c r="M21" t="s">
        <v>62</v>
      </c>
      <c r="N21" s="20">
        <f t="shared" si="11"/>
        <v>0</v>
      </c>
      <c r="O21" s="20">
        <f t="shared" si="11"/>
        <v>5.905511811023622E-3</v>
      </c>
      <c r="P21" s="20">
        <f t="shared" si="11"/>
        <v>5.3149606299212601E-2</v>
      </c>
      <c r="Q21" s="20">
        <f t="shared" si="11"/>
        <v>2.952755905511811E-2</v>
      </c>
      <c r="R21" s="20">
        <f t="shared" si="11"/>
        <v>3.937007874015748E-3</v>
      </c>
      <c r="S21" s="20">
        <f t="shared" si="11"/>
        <v>1.7716535433070866E-2</v>
      </c>
      <c r="T21" s="20">
        <f t="shared" si="11"/>
        <v>3.937007874015748E-3</v>
      </c>
      <c r="U21" s="20">
        <f t="shared" si="11"/>
        <v>0</v>
      </c>
      <c r="V21" s="12">
        <f t="shared" si="12"/>
        <v>0.11417322834645668</v>
      </c>
      <c r="W21" s="12"/>
      <c r="X21" t="s">
        <v>208</v>
      </c>
      <c r="Y21" s="35">
        <f>B24+C24+D24+E24+F24</f>
        <v>0.78181818181818175</v>
      </c>
      <c r="Z21" s="35">
        <f>J23+J22+J21+J20+J19</f>
        <v>0.57727272727272727</v>
      </c>
      <c r="AA21" s="35">
        <f t="shared" si="13"/>
        <v>0.20454545454545447</v>
      </c>
      <c r="AD21" t="s">
        <v>208</v>
      </c>
      <c r="AE21" s="35">
        <f t="shared" si="14"/>
        <v>0.78181818181818175</v>
      </c>
      <c r="AF21" s="35">
        <f>J16+J17+J18+J19+J20</f>
        <v>0.81818181818181823</v>
      </c>
      <c r="AG21" s="35">
        <f t="shared" si="15"/>
        <v>3.6363636363636487E-2</v>
      </c>
      <c r="AJ21" t="s">
        <v>147</v>
      </c>
    </row>
    <row r="22" spans="1:68" x14ac:dyDescent="0.25">
      <c r="A22" t="s">
        <v>63</v>
      </c>
      <c r="B22" s="28">
        <f t="shared" si="8"/>
        <v>4.5454545454545452E-3</v>
      </c>
      <c r="C22" s="28">
        <f t="shared" si="8"/>
        <v>4.5454545454545452E-3</v>
      </c>
      <c r="D22" s="28">
        <f t="shared" si="8"/>
        <v>1.3636363636363636E-2</v>
      </c>
      <c r="E22" s="28">
        <f t="shared" si="8"/>
        <v>4.5454545454545452E-3</v>
      </c>
      <c r="F22" s="28">
        <f t="shared" si="8"/>
        <v>4.5454545454545452E-3</v>
      </c>
      <c r="G22" s="28">
        <f t="shared" si="8"/>
        <v>9.0909090909090905E-3</v>
      </c>
      <c r="H22" s="28">
        <f t="shared" si="8"/>
        <v>0</v>
      </c>
      <c r="I22" s="28">
        <f t="shared" si="8"/>
        <v>0</v>
      </c>
      <c r="J22" s="12">
        <f t="shared" si="10"/>
        <v>4.0909090909090909E-2</v>
      </c>
      <c r="K22" s="12"/>
      <c r="M22" t="s">
        <v>63</v>
      </c>
      <c r="N22" s="20">
        <f t="shared" si="11"/>
        <v>1.968503937007874E-3</v>
      </c>
      <c r="O22" s="20">
        <f t="shared" si="11"/>
        <v>1.968503937007874E-2</v>
      </c>
      <c r="P22" s="20">
        <f t="shared" si="11"/>
        <v>1.968503937007874E-2</v>
      </c>
      <c r="Q22" s="20">
        <f t="shared" si="11"/>
        <v>9.8425196850393699E-3</v>
      </c>
      <c r="R22" s="20">
        <f t="shared" si="11"/>
        <v>1.968503937007874E-3</v>
      </c>
      <c r="S22" s="20">
        <f t="shared" si="11"/>
        <v>5.905511811023622E-3</v>
      </c>
      <c r="T22" s="20">
        <f t="shared" si="11"/>
        <v>0</v>
      </c>
      <c r="U22" s="20">
        <f t="shared" si="11"/>
        <v>0</v>
      </c>
      <c r="V22" s="12">
        <f t="shared" si="12"/>
        <v>5.9055118110236213E-2</v>
      </c>
      <c r="W22" s="12"/>
      <c r="X22" t="s">
        <v>209</v>
      </c>
      <c r="Y22" s="35">
        <f>B24+C24+D24+E24+F24+G24</f>
        <v>0.96818181818181814</v>
      </c>
      <c r="Z22" s="35">
        <f>J23+J22+J21+J20+J19+J18</f>
        <v>0.83636363636363642</v>
      </c>
      <c r="AA22" s="35">
        <f t="shared" si="13"/>
        <v>0.13181818181818172</v>
      </c>
      <c r="AD22" t="s">
        <v>209</v>
      </c>
      <c r="AE22" s="35">
        <f t="shared" si="14"/>
        <v>0.96818181818181814</v>
      </c>
      <c r="AF22" s="35">
        <f>J16+J17+J18+J19+J20+J21</f>
        <v>0.95000000000000007</v>
      </c>
      <c r="AG22" s="35">
        <f t="shared" si="15"/>
        <v>1.8181818181818077E-2</v>
      </c>
      <c r="AI22" t="s">
        <v>278</v>
      </c>
      <c r="AJ22">
        <v>55</v>
      </c>
    </row>
    <row r="23" spans="1:68" x14ac:dyDescent="0.25">
      <c r="A23" t="s">
        <v>64</v>
      </c>
      <c r="B23" s="28">
        <f t="shared" si="8"/>
        <v>0</v>
      </c>
      <c r="C23" s="28">
        <f t="shared" si="8"/>
        <v>0</v>
      </c>
      <c r="D23" s="28">
        <f t="shared" si="8"/>
        <v>0</v>
      </c>
      <c r="E23" s="28">
        <f t="shared" si="8"/>
        <v>4.5454545454545452E-3</v>
      </c>
      <c r="F23" s="28">
        <f t="shared" si="8"/>
        <v>4.5454545454545452E-3</v>
      </c>
      <c r="G23" s="28">
        <f t="shared" si="8"/>
        <v>0</v>
      </c>
      <c r="H23" s="28">
        <f t="shared" si="8"/>
        <v>0</v>
      </c>
      <c r="I23" s="28">
        <f t="shared" si="8"/>
        <v>0</v>
      </c>
      <c r="J23" s="12">
        <f t="shared" si="10"/>
        <v>9.0909090909090905E-3</v>
      </c>
      <c r="K23" s="12"/>
      <c r="M23" t="s">
        <v>64</v>
      </c>
      <c r="N23" s="20">
        <f t="shared" si="11"/>
        <v>0</v>
      </c>
      <c r="O23" s="20">
        <f t="shared" si="11"/>
        <v>1.968503937007874E-3</v>
      </c>
      <c r="P23" s="20">
        <f t="shared" si="11"/>
        <v>0</v>
      </c>
      <c r="Q23" s="20">
        <f t="shared" si="11"/>
        <v>1.968503937007874E-3</v>
      </c>
      <c r="R23" s="20">
        <f t="shared" si="11"/>
        <v>1.968503937007874E-3</v>
      </c>
      <c r="S23" s="20">
        <f t="shared" si="11"/>
        <v>0</v>
      </c>
      <c r="T23" s="20">
        <f t="shared" si="11"/>
        <v>1.968503937007874E-3</v>
      </c>
      <c r="U23" s="20">
        <f t="shared" si="11"/>
        <v>1.968503937007874E-3</v>
      </c>
      <c r="V23" s="12">
        <f t="shared" si="12"/>
        <v>9.8425196850393699E-3</v>
      </c>
      <c r="W23" s="12"/>
      <c r="X23" t="s">
        <v>210</v>
      </c>
      <c r="Y23" s="35">
        <f>B24+C24+D24+E24+F24+G24+H24</f>
        <v>0.99545454545454537</v>
      </c>
      <c r="Z23" s="35">
        <f>J23+J22+J21+J20+J19+J18+J17</f>
        <v>0.90454545454545454</v>
      </c>
      <c r="AA23" s="35">
        <f t="shared" si="13"/>
        <v>9.0909090909090828E-2</v>
      </c>
      <c r="AD23" t="s">
        <v>210</v>
      </c>
      <c r="AE23" s="35">
        <f t="shared" si="14"/>
        <v>0.99545454545454537</v>
      </c>
      <c r="AF23" s="35">
        <f>J16+J17+J18+J19+J20+J21+J22</f>
        <v>0.99090909090909096</v>
      </c>
      <c r="AG23" s="35">
        <f t="shared" si="15"/>
        <v>4.5454545454544082E-3</v>
      </c>
      <c r="AI23" t="s">
        <v>278</v>
      </c>
      <c r="AJ23">
        <v>55</v>
      </c>
    </row>
    <row r="24" spans="1:68" x14ac:dyDescent="0.25">
      <c r="A24" s="5" t="s">
        <v>91</v>
      </c>
      <c r="B24" s="29">
        <f>SUM(B16:B23)</f>
        <v>9.0909090909090905E-3</v>
      </c>
      <c r="C24" s="29">
        <f t="shared" ref="C24:I24" si="16">SUM(C16:C23)</f>
        <v>5.9090909090909097E-2</v>
      </c>
      <c r="D24" s="29">
        <f t="shared" si="16"/>
        <v>0.24090909090909088</v>
      </c>
      <c r="E24" s="29">
        <f t="shared" si="16"/>
        <v>0.30909090909090903</v>
      </c>
      <c r="F24" s="29">
        <f t="shared" si="16"/>
        <v>0.16363636363636364</v>
      </c>
      <c r="G24" s="29">
        <f t="shared" si="16"/>
        <v>0.1863636363636364</v>
      </c>
      <c r="H24" s="29">
        <f t="shared" si="16"/>
        <v>2.7272727272727271E-2</v>
      </c>
      <c r="I24" s="29">
        <f t="shared" si="16"/>
        <v>4.5454545454545452E-3</v>
      </c>
      <c r="J24" s="19">
        <f>SUM(B24:I24)</f>
        <v>0.99999999999999989</v>
      </c>
      <c r="K24" s="4"/>
      <c r="M24" s="5" t="s">
        <v>91</v>
      </c>
      <c r="N24" s="29">
        <f>SUM(N16:N23)</f>
        <v>3.937007874015748E-3</v>
      </c>
      <c r="O24" s="29">
        <f t="shared" ref="O24:U24" si="17">SUM(O16:O23)</f>
        <v>6.4960629921259838E-2</v>
      </c>
      <c r="P24" s="29">
        <f t="shared" si="17"/>
        <v>0.22637795275590553</v>
      </c>
      <c r="Q24" s="29">
        <f t="shared" si="17"/>
        <v>0.37795275590551181</v>
      </c>
      <c r="R24" s="29">
        <f t="shared" si="17"/>
        <v>0.16141732283464566</v>
      </c>
      <c r="S24" s="29">
        <f t="shared" si="17"/>
        <v>0.12204724409448819</v>
      </c>
      <c r="T24" s="29">
        <f t="shared" si="17"/>
        <v>2.7559055118110236E-2</v>
      </c>
      <c r="U24" s="29">
        <f t="shared" si="17"/>
        <v>1.5748031496062992E-2</v>
      </c>
      <c r="V24" s="19">
        <f>SUM(N24:U24)</f>
        <v>1</v>
      </c>
      <c r="W24" s="4"/>
      <c r="X24" t="s">
        <v>211</v>
      </c>
      <c r="Y24" s="35">
        <f>B24+C24+D24+E24+F24+G24+H24+I24</f>
        <v>0.99999999999999989</v>
      </c>
      <c r="Z24" s="35">
        <f>J23+J22+J21+J20+J19+J18+J17+J16</f>
        <v>1</v>
      </c>
      <c r="AA24" s="35">
        <f t="shared" si="13"/>
        <v>1.1102230246251565E-16</v>
      </c>
      <c r="AD24" t="s">
        <v>211</v>
      </c>
      <c r="AE24" s="35">
        <f t="shared" si="14"/>
        <v>0.99999999999999989</v>
      </c>
      <c r="AF24" s="35">
        <f>J16+J17+J18+J19+J20+J21+J22+J23</f>
        <v>1</v>
      </c>
      <c r="AG24" s="35">
        <f t="shared" si="15"/>
        <v>1.1102230246251565E-16</v>
      </c>
    </row>
    <row r="25" spans="1:68" x14ac:dyDescent="0.25">
      <c r="A25" s="5" t="s">
        <v>88</v>
      </c>
      <c r="B25" s="6" t="s">
        <v>64</v>
      </c>
      <c r="C25" s="6" t="s">
        <v>63</v>
      </c>
      <c r="D25" s="6" t="s">
        <v>62</v>
      </c>
      <c r="E25" s="6" t="s">
        <v>60</v>
      </c>
      <c r="F25" s="6" t="s">
        <v>59</v>
      </c>
      <c r="G25" s="6" t="s">
        <v>57</v>
      </c>
      <c r="H25" s="6" t="s">
        <v>89</v>
      </c>
      <c r="I25" s="6" t="s">
        <v>55</v>
      </c>
      <c r="J25" s="4"/>
      <c r="K25" s="4"/>
      <c r="M25" s="5" t="s">
        <v>88</v>
      </c>
      <c r="N25" s="6" t="s">
        <v>64</v>
      </c>
      <c r="O25" s="6" t="s">
        <v>63</v>
      </c>
      <c r="P25" s="6" t="s">
        <v>62</v>
      </c>
      <c r="Q25" s="6" t="s">
        <v>60</v>
      </c>
      <c r="R25" s="6" t="s">
        <v>59</v>
      </c>
      <c r="S25" s="6" t="s">
        <v>57</v>
      </c>
      <c r="T25" s="6" t="s">
        <v>89</v>
      </c>
      <c r="U25" s="6" t="s">
        <v>55</v>
      </c>
      <c r="V25" s="4"/>
      <c r="W25" s="4"/>
      <c r="X25" s="35"/>
      <c r="Y25" s="35"/>
      <c r="Z25" s="35"/>
      <c r="AA25" s="35">
        <f>MAX(AA17:AA24)</f>
        <v>0.20454545454545447</v>
      </c>
      <c r="AD25" s="35"/>
      <c r="AE25" s="35"/>
      <c r="AF25" s="35"/>
      <c r="AG25" s="35">
        <f t="shared" ref="AG25" si="18">MAX(AG17:AG24)</f>
        <v>0.11363636363636365</v>
      </c>
    </row>
    <row r="26" spans="1:68" x14ac:dyDescent="0.25">
      <c r="A26" s="8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68" x14ac:dyDescent="0.25">
      <c r="A27" s="8" t="s">
        <v>103</v>
      </c>
      <c r="B27" s="7"/>
      <c r="C27" s="7"/>
      <c r="D27" s="7"/>
      <c r="E27" s="7"/>
      <c r="F27" s="7"/>
      <c r="G27" s="8" t="s">
        <v>104</v>
      </c>
      <c r="H27" s="7"/>
      <c r="I27" s="7"/>
      <c r="J27" s="7"/>
      <c r="K27" s="7"/>
    </row>
    <row r="28" spans="1:68" x14ac:dyDescent="0.25">
      <c r="A28" s="8" t="s">
        <v>67</v>
      </c>
      <c r="B28" s="7" t="s">
        <v>68</v>
      </c>
      <c r="C28" s="7" t="s">
        <v>69</v>
      </c>
      <c r="D28" s="7" t="s">
        <v>70</v>
      </c>
      <c r="E28" s="7" t="s">
        <v>69</v>
      </c>
      <c r="F28" s="7"/>
      <c r="G28" s="8" t="s">
        <v>102</v>
      </c>
      <c r="H28" s="7" t="s">
        <v>68</v>
      </c>
      <c r="I28" s="7" t="s">
        <v>69</v>
      </c>
      <c r="J28" s="7" t="s">
        <v>70</v>
      </c>
      <c r="K28" s="7" t="s">
        <v>69</v>
      </c>
      <c r="M28" s="34" t="s">
        <v>275</v>
      </c>
      <c r="S28" t="s">
        <v>153</v>
      </c>
      <c r="X28" t="s">
        <v>276</v>
      </c>
      <c r="AD28" t="s">
        <v>153</v>
      </c>
      <c r="AI28" t="s">
        <v>282</v>
      </c>
      <c r="AO28" t="s">
        <v>153</v>
      </c>
      <c r="AV28" t="s">
        <v>283</v>
      </c>
      <c r="BB28" t="s">
        <v>153</v>
      </c>
      <c r="BG28" t="s">
        <v>287</v>
      </c>
      <c r="BM28" t="s">
        <v>153</v>
      </c>
    </row>
    <row r="29" spans="1:68" x14ac:dyDescent="0.25">
      <c r="A29" t="s">
        <v>71</v>
      </c>
      <c r="B29">
        <f>J11</f>
        <v>220</v>
      </c>
      <c r="C29" s="9">
        <f>B29/B29</f>
        <v>1</v>
      </c>
      <c r="D29">
        <v>64</v>
      </c>
      <c r="E29" s="9">
        <f>D29/D29</f>
        <v>1</v>
      </c>
      <c r="G29" t="s">
        <v>71</v>
      </c>
      <c r="H29">
        <f>J11</f>
        <v>220</v>
      </c>
      <c r="I29" s="9">
        <f t="shared" ref="I29:I39" si="19">H29/$H$29</f>
        <v>1</v>
      </c>
      <c r="J29">
        <v>64</v>
      </c>
      <c r="K29" s="9">
        <f>J29/J29</f>
        <v>1</v>
      </c>
      <c r="M29" t="s">
        <v>160</v>
      </c>
      <c r="N29" t="s">
        <v>13</v>
      </c>
      <c r="O29" t="s">
        <v>14</v>
      </c>
      <c r="P29" t="s">
        <v>39</v>
      </c>
      <c r="S29" t="s">
        <v>145</v>
      </c>
      <c r="T29" t="s">
        <v>146</v>
      </c>
      <c r="U29" t="s">
        <v>150</v>
      </c>
      <c r="Y29" t="s">
        <v>182</v>
      </c>
      <c r="Z29" t="s">
        <v>14</v>
      </c>
      <c r="AA29" t="s">
        <v>39</v>
      </c>
      <c r="AD29" t="s">
        <v>145</v>
      </c>
      <c r="AE29" t="s">
        <v>146</v>
      </c>
      <c r="AF29" t="s">
        <v>150</v>
      </c>
      <c r="AJ29" t="s">
        <v>182</v>
      </c>
      <c r="AK29" t="s">
        <v>13</v>
      </c>
      <c r="AL29" t="s">
        <v>39</v>
      </c>
      <c r="AO29" t="s">
        <v>145</v>
      </c>
      <c r="AP29" t="s">
        <v>146</v>
      </c>
      <c r="AQ29" t="s">
        <v>150</v>
      </c>
      <c r="AT29" t="s">
        <v>286</v>
      </c>
      <c r="AW29" t="s">
        <v>284</v>
      </c>
      <c r="AX29" t="s">
        <v>285</v>
      </c>
      <c r="AY29" t="s">
        <v>39</v>
      </c>
      <c r="BB29" t="s">
        <v>145</v>
      </c>
      <c r="BC29" t="s">
        <v>146</v>
      </c>
      <c r="BD29" t="s">
        <v>150</v>
      </c>
      <c r="BH29" t="s">
        <v>288</v>
      </c>
      <c r="BI29" t="s">
        <v>289</v>
      </c>
      <c r="BJ29" t="s">
        <v>39</v>
      </c>
      <c r="BM29" t="s">
        <v>145</v>
      </c>
      <c r="BN29" t="s">
        <v>146</v>
      </c>
      <c r="BO29" t="s">
        <v>150</v>
      </c>
    </row>
    <row r="30" spans="1:68" x14ac:dyDescent="0.25">
      <c r="A30" t="s">
        <v>66</v>
      </c>
      <c r="B30">
        <f>B3+C3+B4</f>
        <v>3</v>
      </c>
      <c r="C30" s="11">
        <f t="shared" ref="C30:C39" si="20">B30/B$29</f>
        <v>1.3636363636363636E-2</v>
      </c>
      <c r="D30">
        <v>3</v>
      </c>
      <c r="E30" s="9">
        <f t="shared" ref="E30:E39" si="21">D30/D$29</f>
        <v>4.6875E-2</v>
      </c>
      <c r="G30" t="s">
        <v>116</v>
      </c>
      <c r="H30">
        <f>B3</f>
        <v>0</v>
      </c>
      <c r="I30" s="9">
        <f t="shared" si="19"/>
        <v>0</v>
      </c>
      <c r="J30">
        <v>1</v>
      </c>
      <c r="K30" s="9">
        <f t="shared" ref="K30:K39" si="22">J30/J$29</f>
        <v>1.5625E-2</v>
      </c>
      <c r="M30" t="s">
        <v>6</v>
      </c>
      <c r="N30" s="35">
        <f>'version 4 (LI) students only'!B24</f>
        <v>0</v>
      </c>
      <c r="O30" s="35">
        <f>$B$24</f>
        <v>9.0909090909090905E-3</v>
      </c>
      <c r="P30" s="35">
        <f t="shared" ref="P30:P37" si="23">ABS(N30-O30)</f>
        <v>9.0909090909090905E-3</v>
      </c>
      <c r="S30">
        <v>0.1</v>
      </c>
      <c r="T30">
        <v>1.22</v>
      </c>
      <c r="U30">
        <f>SQRT((S35+S36)/(S35*S36))</f>
        <v>0.17908296141930161</v>
      </c>
      <c r="V30">
        <f>PRODUCT(U30, T30)</f>
        <v>0.21848121293154796</v>
      </c>
      <c r="X30" t="s">
        <v>6</v>
      </c>
      <c r="Y30" s="35">
        <f>'Version 3 (GI) students only'!B24</f>
        <v>2.3972602739726026E-2</v>
      </c>
      <c r="Z30" s="35">
        <f>O30</f>
        <v>9.0909090909090905E-3</v>
      </c>
      <c r="AA30" s="35">
        <f t="shared" ref="AA30:AA37" si="24">ABS(Y30-Z30)</f>
        <v>1.4881693648816936E-2</v>
      </c>
      <c r="AD30">
        <v>0.1</v>
      </c>
      <c r="AE30">
        <v>1.22</v>
      </c>
      <c r="AF30">
        <f>SQRT((AD35+AD36)/(AD35*AD36))</f>
        <v>0.17855096840623544</v>
      </c>
      <c r="AG30">
        <f>PRODUCT(AF30, AE30)</f>
        <v>0.21783218145560723</v>
      </c>
      <c r="AI30" t="s">
        <v>6</v>
      </c>
      <c r="AJ30" s="35">
        <f>Y30</f>
        <v>2.3972602739726026E-2</v>
      </c>
      <c r="AK30" s="35">
        <f>N30</f>
        <v>0</v>
      </c>
      <c r="AL30" s="35">
        <f t="shared" ref="AL30:AL37" si="25">ABS(AJ30-AK30)</f>
        <v>2.3972602739726026E-2</v>
      </c>
      <c r="AO30">
        <v>0.1</v>
      </c>
      <c r="AP30">
        <v>1.22</v>
      </c>
      <c r="AQ30">
        <f>SQRT((AO35+AO36)/(AO35*AO36))</f>
        <v>0.16609490969284757</v>
      </c>
      <c r="AR30">
        <f>PRODUCT(AQ30, AP30)</f>
        <v>0.20263578982527403</v>
      </c>
      <c r="AT30" s="35">
        <v>1.984126984126984E-2</v>
      </c>
      <c r="AU30" s="35"/>
      <c r="AV30" t="s">
        <v>6</v>
      </c>
      <c r="AW30" s="35">
        <f>(Y30+AT30)/2</f>
        <v>2.1906936290497933E-2</v>
      </c>
      <c r="AX30" s="35">
        <f>(AK30+Z30)/2</f>
        <v>4.5454545454545452E-3</v>
      </c>
      <c r="AY30">
        <f t="shared" ref="AY30:AY37" si="26">ABS(AW30-AX30)</f>
        <v>1.7361481745043386E-2</v>
      </c>
      <c r="BB30">
        <v>0.1</v>
      </c>
      <c r="BC30">
        <v>1.22</v>
      </c>
      <c r="BD30">
        <f>SQRT((BB35+BB36)/(BB35*BB36))</f>
        <v>0.12452952876443016</v>
      </c>
      <c r="BE30">
        <f>PRODUCT(BD30, BC30)</f>
        <v>0.15192602509260478</v>
      </c>
      <c r="BG30" t="s">
        <v>6</v>
      </c>
      <c r="BH30" s="35">
        <f>(AT30+Z30)/2</f>
        <v>1.4466089466089465E-2</v>
      </c>
      <c r="BI30" s="35">
        <f>(AJ30+AK30)/2</f>
        <v>1.1986301369863013E-2</v>
      </c>
      <c r="BJ30">
        <f t="shared" ref="BJ30:BJ37" si="27">ABS(BH30-BI30)</f>
        <v>2.4797880962264523E-3</v>
      </c>
      <c r="BM30">
        <v>0.1</v>
      </c>
      <c r="BN30">
        <v>1.22</v>
      </c>
      <c r="BO30">
        <f>SQRT((BM35+BM36)/(BM35*BM36))</f>
        <v>0.12548350188874163</v>
      </c>
      <c r="BP30">
        <f>PRODUCT(BO30, BN30)</f>
        <v>0.1530898723042648</v>
      </c>
    </row>
    <row r="31" spans="1:68" x14ac:dyDescent="0.25">
      <c r="A31" t="s">
        <v>72</v>
      </c>
      <c r="B31">
        <f>B3+B4+C3+C4+C5+D4+D5+D6+E5+E6+E7+F6</f>
        <v>84</v>
      </c>
      <c r="C31" s="11">
        <f t="shared" si="20"/>
        <v>0.38181818181818183</v>
      </c>
      <c r="D31">
        <v>12</v>
      </c>
      <c r="E31" s="9">
        <f t="shared" si="21"/>
        <v>0.1875</v>
      </c>
      <c r="G31" t="s">
        <v>117</v>
      </c>
      <c r="H31">
        <f>B3+C4+D5+E6</f>
        <v>30</v>
      </c>
      <c r="I31" s="9">
        <f t="shared" si="19"/>
        <v>0.13636363636363635</v>
      </c>
      <c r="J31">
        <v>4</v>
      </c>
      <c r="K31" s="9">
        <f t="shared" si="22"/>
        <v>6.25E-2</v>
      </c>
      <c r="M31" t="s">
        <v>7</v>
      </c>
      <c r="N31" s="35">
        <f>'version 4 (LI) students only'!B24+'version 4 (LI) students only'!C24</f>
        <v>6.9444444444444448E-2</v>
      </c>
      <c r="O31" s="35">
        <f>$B$24+$C$24</f>
        <v>6.8181818181818191E-2</v>
      </c>
      <c r="P31" s="35">
        <f t="shared" si="23"/>
        <v>1.2626262626262569E-3</v>
      </c>
      <c r="S31">
        <v>0.05</v>
      </c>
      <c r="T31">
        <v>1.36</v>
      </c>
      <c r="V31">
        <f>U30*T31</f>
        <v>0.2435528275302502</v>
      </c>
      <c r="X31" t="s">
        <v>7</v>
      </c>
      <c r="Y31" s="35">
        <f>'Version 3 (GI) students only'!B24+'Version 3 (GI) students only'!C24</f>
        <v>8.5616438356164379E-2</v>
      </c>
      <c r="Z31" s="35">
        <f t="shared" ref="Z31:Z37" si="28">O31</f>
        <v>6.8181818181818191E-2</v>
      </c>
      <c r="AA31" s="35">
        <f t="shared" si="24"/>
        <v>1.7434620174346188E-2</v>
      </c>
      <c r="AD31">
        <v>0.05</v>
      </c>
      <c r="AE31">
        <v>1.36</v>
      </c>
      <c r="AG31">
        <f>AF30*AE31</f>
        <v>0.2428293170324802</v>
      </c>
      <c r="AI31" t="s">
        <v>7</v>
      </c>
      <c r="AJ31" s="35">
        <f t="shared" ref="AJ31:AJ81" si="29">Y31</f>
        <v>8.5616438356164379E-2</v>
      </c>
      <c r="AK31" s="35">
        <f t="shared" ref="AK31:AK81" si="30">N31</f>
        <v>6.9444444444444448E-2</v>
      </c>
      <c r="AL31" s="35">
        <f t="shared" si="25"/>
        <v>1.6171993911719931E-2</v>
      </c>
      <c r="AO31">
        <v>0.05</v>
      </c>
      <c r="AP31">
        <v>1.36</v>
      </c>
      <c r="AR31">
        <f>AQ30*AP31</f>
        <v>0.22588907718227272</v>
      </c>
      <c r="AT31" s="35">
        <v>7.1428571428571425E-2</v>
      </c>
      <c r="AU31" s="35"/>
      <c r="AV31" t="s">
        <v>7</v>
      </c>
      <c r="AW31" s="35">
        <f t="shared" ref="AW31:AW81" si="31">(Y31+AT31)/2</f>
        <v>7.8522504892367895E-2</v>
      </c>
      <c r="AX31" s="35">
        <f t="shared" ref="AX31:AX81" si="32">(AK31+Z31)/2</f>
        <v>6.8813131313131326E-2</v>
      </c>
      <c r="AY31">
        <f t="shared" si="26"/>
        <v>9.7093735792365687E-3</v>
      </c>
      <c r="BB31">
        <v>0.05</v>
      </c>
      <c r="BC31">
        <v>1.36</v>
      </c>
      <c r="BE31">
        <f>BD30*BC31</f>
        <v>0.16936015911962501</v>
      </c>
      <c r="BG31" t="s">
        <v>7</v>
      </c>
      <c r="BH31" s="35">
        <f t="shared" ref="BH31:BH81" si="33">(AT31+Z31)/2</f>
        <v>6.9805194805194815E-2</v>
      </c>
      <c r="BI31" s="35">
        <f t="shared" ref="BI31:BI81" si="34">(AJ31+AK31)/2</f>
        <v>7.7530441400304406E-2</v>
      </c>
      <c r="BJ31">
        <f t="shared" si="27"/>
        <v>7.7252465951095917E-3</v>
      </c>
      <c r="BM31">
        <v>0.05</v>
      </c>
      <c r="BN31">
        <v>1.36</v>
      </c>
      <c r="BP31">
        <f>BO30*BN31</f>
        <v>0.17065756256868864</v>
      </c>
    </row>
    <row r="32" spans="1:68" x14ac:dyDescent="0.25">
      <c r="A32" t="s">
        <v>73</v>
      </c>
      <c r="B32">
        <f>SUM(B3:B7, C3:C7, D3:D7, E3:E7, F3:F6)</f>
        <v>137</v>
      </c>
      <c r="C32" s="11">
        <f t="shared" si="20"/>
        <v>0.62272727272727268</v>
      </c>
      <c r="D32">
        <v>24</v>
      </c>
      <c r="E32" s="9">
        <f t="shared" si="21"/>
        <v>0.375</v>
      </c>
      <c r="G32" t="s">
        <v>118</v>
      </c>
      <c r="H32">
        <f>SUM(B3:B6) + SUM(C3:C6) + SUM(D3:D6) + SUM(E3:E6)</f>
        <v>75</v>
      </c>
      <c r="I32" s="9">
        <f t="shared" si="19"/>
        <v>0.34090909090909088</v>
      </c>
      <c r="J32">
        <v>16</v>
      </c>
      <c r="K32" s="9">
        <f t="shared" si="22"/>
        <v>0.25</v>
      </c>
      <c r="M32" t="s">
        <v>8</v>
      </c>
      <c r="N32" s="35">
        <f>'version 4 (LI) students only'!B24+'version 4 (LI) students only'!C24+'version 4 (LI) students only'!D24</f>
        <v>0.28472222222222221</v>
      </c>
      <c r="O32" s="35">
        <f>$B$24+$C$24+$D$24</f>
        <v>0.30909090909090908</v>
      </c>
      <c r="P32" s="35">
        <f t="shared" si="23"/>
        <v>2.4368686868686873E-2</v>
      </c>
      <c r="S32">
        <v>0.01</v>
      </c>
      <c r="T32">
        <v>1.63</v>
      </c>
      <c r="V32">
        <f>U30*T32</f>
        <v>0.29190522711346162</v>
      </c>
      <c r="X32" t="s">
        <v>8</v>
      </c>
      <c r="Y32" s="35">
        <f>'Version 3 (GI) students only'!B24+'Version 3 (GI) students only'!C24+'Version 3 (GI) students only'!D24</f>
        <v>0.32191780821917809</v>
      </c>
      <c r="Z32" s="35">
        <f t="shared" si="28"/>
        <v>0.30909090909090908</v>
      </c>
      <c r="AA32" s="35">
        <f t="shared" si="24"/>
        <v>1.2826899128269009E-2</v>
      </c>
      <c r="AD32">
        <v>0.01</v>
      </c>
      <c r="AE32">
        <v>1.63</v>
      </c>
      <c r="AG32">
        <f>AF30*AE32</f>
        <v>0.29103807850216373</v>
      </c>
      <c r="AI32" t="s">
        <v>8</v>
      </c>
      <c r="AJ32" s="35">
        <f t="shared" si="29"/>
        <v>0.32191780821917809</v>
      </c>
      <c r="AK32" s="35">
        <f t="shared" si="30"/>
        <v>0.28472222222222221</v>
      </c>
      <c r="AL32" s="35">
        <f t="shared" si="25"/>
        <v>3.7195585996955882E-2</v>
      </c>
      <c r="AO32">
        <v>0.01</v>
      </c>
      <c r="AP32">
        <v>1.63</v>
      </c>
      <c r="AR32">
        <f>AQ30*AP32</f>
        <v>0.27073470279934153</v>
      </c>
      <c r="AT32" s="35">
        <v>0.26190476190476186</v>
      </c>
      <c r="AU32" s="35"/>
      <c r="AV32" t="s">
        <v>8</v>
      </c>
      <c r="AW32" s="35">
        <f t="shared" si="31"/>
        <v>0.29191128506196995</v>
      </c>
      <c r="AX32" s="35">
        <f t="shared" si="32"/>
        <v>0.29690656565656565</v>
      </c>
      <c r="AY32">
        <f t="shared" si="26"/>
        <v>4.9952805945956968E-3</v>
      </c>
      <c r="BB32">
        <v>0.01</v>
      </c>
      <c r="BC32">
        <v>1.63</v>
      </c>
      <c r="BE32">
        <f>BD30*BC32</f>
        <v>0.20298313188602116</v>
      </c>
      <c r="BG32" t="s">
        <v>8</v>
      </c>
      <c r="BH32" s="35">
        <f t="shared" si="33"/>
        <v>0.28549783549783547</v>
      </c>
      <c r="BI32" s="35">
        <f t="shared" si="34"/>
        <v>0.30332001522070018</v>
      </c>
      <c r="BJ32">
        <f t="shared" si="27"/>
        <v>1.7822179722864706E-2</v>
      </c>
      <c r="BM32">
        <v>0.01</v>
      </c>
      <c r="BN32">
        <v>1.63</v>
      </c>
      <c r="BP32">
        <f>BO30*BN32</f>
        <v>0.20453810807864886</v>
      </c>
    </row>
    <row r="33" spans="1:68" x14ac:dyDescent="0.25">
      <c r="A33" t="s">
        <v>74</v>
      </c>
      <c r="B33">
        <f>SUM(B3:B10, C3:C9, D3:D8, E3:E7, F3:F6, G3:G5, H3:H4, I3)</f>
        <v>167</v>
      </c>
      <c r="C33" s="11">
        <f t="shared" si="20"/>
        <v>0.75909090909090904</v>
      </c>
      <c r="D33">
        <v>36</v>
      </c>
      <c r="E33" s="9">
        <f t="shared" si="21"/>
        <v>0.5625</v>
      </c>
      <c r="G33" t="s">
        <v>119</v>
      </c>
      <c r="H33">
        <f>SUM(B3:B9)+SUM(C3:C8)+SUM(D3:D7)+SUM(E3:E6)+SUM(F3:F5)+SUM(G3:G4)+H3</f>
        <v>117</v>
      </c>
      <c r="I33" s="9">
        <f t="shared" si="19"/>
        <v>0.53181818181818186</v>
      </c>
      <c r="J33">
        <v>28</v>
      </c>
      <c r="K33" s="9">
        <f t="shared" si="22"/>
        <v>0.4375</v>
      </c>
      <c r="M33" t="s">
        <v>9</v>
      </c>
      <c r="N33" s="35">
        <f>'version 4 (LI) students only'!B24+'version 4 (LI) students only'!C24+'version 4 (LI) students only'!D24+'version 4 (LI) students only'!E24</f>
        <v>0.71527777777777768</v>
      </c>
      <c r="O33" s="35">
        <f>SUM($B$24:$E$24)</f>
        <v>0.61818181818181817</v>
      </c>
      <c r="P33" s="35">
        <f t="shared" si="23"/>
        <v>9.7095959595959513E-2</v>
      </c>
      <c r="R33" t="s">
        <v>292</v>
      </c>
      <c r="V33" s="73">
        <f>MAX(P38, P48, P65)</f>
        <v>0.16489898989898988</v>
      </c>
      <c r="X33" t="s">
        <v>9</v>
      </c>
      <c r="Y33" s="35">
        <f>Y32+'Version 3 (GI) students only'!E24</f>
        <v>0.73630136986301364</v>
      </c>
      <c r="Z33" s="35">
        <f t="shared" si="28"/>
        <v>0.61818181818181817</v>
      </c>
      <c r="AA33" s="35">
        <f t="shared" si="24"/>
        <v>0.11811955168119548</v>
      </c>
      <c r="AC33" t="s">
        <v>292</v>
      </c>
      <c r="AG33" s="73">
        <f>MAX(AA38, AA48, AA65)</f>
        <v>0.1247820672478207</v>
      </c>
      <c r="AI33" t="s">
        <v>9</v>
      </c>
      <c r="AJ33" s="35">
        <f t="shared" si="29"/>
        <v>0.73630136986301364</v>
      </c>
      <c r="AK33" s="35">
        <f t="shared" si="30"/>
        <v>0.71527777777777768</v>
      </c>
      <c r="AL33" s="35">
        <f t="shared" si="25"/>
        <v>2.1023592085235965E-2</v>
      </c>
      <c r="AN33" t="s">
        <v>292</v>
      </c>
      <c r="AR33" s="35">
        <f>MAX(AL38, AL48, AL65)</f>
        <v>0.10711567732115684</v>
      </c>
      <c r="AT33" s="35">
        <v>0.67857142857142849</v>
      </c>
      <c r="AU33" s="35"/>
      <c r="AV33" t="s">
        <v>9</v>
      </c>
      <c r="AW33" s="35">
        <f t="shared" si="31"/>
        <v>0.70743639921722101</v>
      </c>
      <c r="AX33" s="35">
        <f t="shared" si="32"/>
        <v>0.66672979797979792</v>
      </c>
      <c r="AY33">
        <f t="shared" si="26"/>
        <v>4.070660123742309E-2</v>
      </c>
      <c r="BA33" t="s">
        <v>292</v>
      </c>
      <c r="BE33">
        <f>MAX(AY38, AY48, AY65)</f>
        <v>6.3135081242958024E-2</v>
      </c>
      <c r="BG33" t="s">
        <v>9</v>
      </c>
      <c r="BH33" s="35">
        <f t="shared" si="33"/>
        <v>0.64837662337662327</v>
      </c>
      <c r="BI33" s="35">
        <f t="shared" si="34"/>
        <v>0.72578957382039566</v>
      </c>
      <c r="BJ33">
        <f t="shared" si="27"/>
        <v>7.7412950443772388E-2</v>
      </c>
      <c r="BL33" t="s">
        <v>292</v>
      </c>
      <c r="BP33">
        <f>MAX(BJ38, BJ48, BJ65)</f>
        <v>7.7412950443772388E-2</v>
      </c>
    </row>
    <row r="34" spans="1:68" x14ac:dyDescent="0.25">
      <c r="A34" t="s">
        <v>75</v>
      </c>
      <c r="B34">
        <f>SUM(B9:B10, C8:C10, D7:D9, E6:E8, F5:F7, G4:G6, H3:H5, I3:I4)</f>
        <v>114</v>
      </c>
      <c r="C34" s="11">
        <f t="shared" si="20"/>
        <v>0.51818181818181819</v>
      </c>
      <c r="D34">
        <v>22</v>
      </c>
      <c r="E34" s="9">
        <f t="shared" si="21"/>
        <v>0.34375</v>
      </c>
      <c r="G34" t="s">
        <v>120</v>
      </c>
      <c r="H34">
        <f>B10+C9+D8+E7+F6+G5+H4+I3+E6+F7</f>
        <v>70</v>
      </c>
      <c r="I34" s="22">
        <f t="shared" si="19"/>
        <v>0.31818181818181818</v>
      </c>
      <c r="J34">
        <v>10</v>
      </c>
      <c r="K34" s="9">
        <f t="shared" si="22"/>
        <v>0.15625</v>
      </c>
      <c r="M34" t="s">
        <v>10</v>
      </c>
      <c r="N34" s="35">
        <f>'version 4 (LI) students only'!B24+'version 4 (LI) students only'!C24+'version 4 (LI) students only'!D24+'version 4 (LI) students only'!E24+'version 4 (LI) students only'!F24</f>
        <v>0.87499999999999989</v>
      </c>
      <c r="O34" s="35">
        <f>SUM($B$24:$F$24)</f>
        <v>0.78181818181818175</v>
      </c>
      <c r="P34" s="35">
        <f t="shared" si="23"/>
        <v>9.3181818181818143E-2</v>
      </c>
      <c r="S34" t="s">
        <v>147</v>
      </c>
      <c r="X34" t="s">
        <v>10</v>
      </c>
      <c r="Y34" s="35">
        <f>Y33+'Version 3 (GI) students only'!F24</f>
        <v>0.88356164383561642</v>
      </c>
      <c r="Z34" s="35">
        <f t="shared" si="28"/>
        <v>0.78181818181818175</v>
      </c>
      <c r="AA34" s="35">
        <f t="shared" si="24"/>
        <v>0.10174346201743467</v>
      </c>
      <c r="AD34" t="s">
        <v>147</v>
      </c>
      <c r="AI34" t="s">
        <v>10</v>
      </c>
      <c r="AJ34" s="35">
        <f t="shared" si="29"/>
        <v>0.88356164383561642</v>
      </c>
      <c r="AK34" s="35">
        <f t="shared" si="30"/>
        <v>0.87499999999999989</v>
      </c>
      <c r="AL34" s="35">
        <f t="shared" si="25"/>
        <v>8.5616438356165281E-3</v>
      </c>
      <c r="AO34" t="s">
        <v>147</v>
      </c>
      <c r="AT34" s="35">
        <v>0.84126984126984117</v>
      </c>
      <c r="AU34" s="35"/>
      <c r="AV34" t="s">
        <v>10</v>
      </c>
      <c r="AW34" s="35">
        <f t="shared" si="31"/>
        <v>0.86241574255272879</v>
      </c>
      <c r="AX34" s="35">
        <f t="shared" si="32"/>
        <v>0.82840909090909087</v>
      </c>
      <c r="AY34">
        <f t="shared" si="26"/>
        <v>3.400665164363792E-2</v>
      </c>
      <c r="BB34" t="s">
        <v>147</v>
      </c>
      <c r="BG34" t="s">
        <v>10</v>
      </c>
      <c r="BH34" s="35">
        <f t="shared" si="33"/>
        <v>0.81154401154401146</v>
      </c>
      <c r="BI34" s="35">
        <f t="shared" si="34"/>
        <v>0.8792808219178081</v>
      </c>
      <c r="BJ34">
        <f t="shared" si="27"/>
        <v>6.7736810373796641E-2</v>
      </c>
      <c r="BM34" t="s">
        <v>147</v>
      </c>
    </row>
    <row r="35" spans="1:68" x14ac:dyDescent="0.25">
      <c r="A35" t="s">
        <v>76</v>
      </c>
      <c r="B35">
        <f>SUM(E6:E7, F6:F7)</f>
        <v>45</v>
      </c>
      <c r="C35" s="11">
        <f t="shared" si="20"/>
        <v>0.20454545454545456</v>
      </c>
      <c r="D35">
        <v>4</v>
      </c>
      <c r="E35" s="9">
        <f t="shared" si="21"/>
        <v>6.25E-2</v>
      </c>
      <c r="G35" t="s">
        <v>121</v>
      </c>
      <c r="H35">
        <f>E7+F6</f>
        <v>25</v>
      </c>
      <c r="I35" s="22">
        <f t="shared" si="19"/>
        <v>0.11363636363636363</v>
      </c>
      <c r="J35">
        <v>2</v>
      </c>
      <c r="K35" s="9">
        <f t="shared" si="22"/>
        <v>3.125E-2</v>
      </c>
      <c r="M35" t="s">
        <v>11</v>
      </c>
      <c r="N35" s="35">
        <f>N34+'version 4 (LI) students only'!G24</f>
        <v>0.94791666666666652</v>
      </c>
      <c r="O35" s="35">
        <f>SUM($B$24:$G$24)</f>
        <v>0.96818181818181814</v>
      </c>
      <c r="P35" s="35">
        <f t="shared" si="23"/>
        <v>2.0265151515151625E-2</v>
      </c>
      <c r="R35" t="s">
        <v>148</v>
      </c>
      <c r="S35">
        <v>72</v>
      </c>
      <c r="X35" t="s">
        <v>11</v>
      </c>
      <c r="Y35" s="35">
        <f>Y34+'Version 3 (GI) students only'!G24</f>
        <v>0.94178082191780821</v>
      </c>
      <c r="Z35" s="35">
        <f t="shared" si="28"/>
        <v>0.96818181818181814</v>
      </c>
      <c r="AA35" s="35">
        <f t="shared" si="24"/>
        <v>2.6400996264009935E-2</v>
      </c>
      <c r="AC35" t="s">
        <v>154</v>
      </c>
      <c r="AD35">
        <v>73</v>
      </c>
      <c r="AI35" t="s">
        <v>11</v>
      </c>
      <c r="AJ35" s="35">
        <f t="shared" si="29"/>
        <v>0.94178082191780821</v>
      </c>
      <c r="AK35" s="35">
        <f t="shared" si="30"/>
        <v>0.94791666666666652</v>
      </c>
      <c r="AL35" s="35">
        <f t="shared" si="25"/>
        <v>6.1358447488583101E-3</v>
      </c>
      <c r="AN35" t="s">
        <v>154</v>
      </c>
      <c r="AO35">
        <v>73</v>
      </c>
      <c r="AT35" s="35">
        <v>0.96825396825396814</v>
      </c>
      <c r="AU35" s="35"/>
      <c r="AV35" t="s">
        <v>11</v>
      </c>
      <c r="AW35" s="35">
        <f t="shared" si="31"/>
        <v>0.95501739508588823</v>
      </c>
      <c r="AX35" s="35">
        <f t="shared" si="32"/>
        <v>0.95804924242424239</v>
      </c>
      <c r="AY35">
        <f t="shared" si="26"/>
        <v>3.0318473383541544E-3</v>
      </c>
      <c r="BA35" t="s">
        <v>284</v>
      </c>
      <c r="BB35">
        <f>AO35+58</f>
        <v>131</v>
      </c>
      <c r="BG35" t="s">
        <v>11</v>
      </c>
      <c r="BH35" s="35">
        <f t="shared" si="33"/>
        <v>0.96821789321789309</v>
      </c>
      <c r="BI35" s="35">
        <f t="shared" si="34"/>
        <v>0.94484874429223731</v>
      </c>
      <c r="BJ35">
        <f t="shared" si="27"/>
        <v>2.3369148925655781E-2</v>
      </c>
      <c r="BL35" t="s">
        <v>288</v>
      </c>
      <c r="BM35">
        <f>55+58</f>
        <v>113</v>
      </c>
    </row>
    <row r="36" spans="1:68" x14ac:dyDescent="0.25">
      <c r="A36" t="s">
        <v>200</v>
      </c>
      <c r="B36">
        <f>I10</f>
        <v>0</v>
      </c>
      <c r="C36" s="11">
        <f t="shared" si="20"/>
        <v>0</v>
      </c>
      <c r="D36">
        <v>3</v>
      </c>
      <c r="E36" s="9">
        <f t="shared" si="21"/>
        <v>4.6875E-2</v>
      </c>
      <c r="G36" t="s">
        <v>198</v>
      </c>
      <c r="H36">
        <f>I10</f>
        <v>0</v>
      </c>
      <c r="I36" s="14">
        <f t="shared" si="19"/>
        <v>0</v>
      </c>
      <c r="J36">
        <v>1</v>
      </c>
      <c r="K36" s="9">
        <f t="shared" si="22"/>
        <v>1.5625E-2</v>
      </c>
      <c r="M36" t="s">
        <v>12</v>
      </c>
      <c r="N36" s="35">
        <f>N35+'version 4 (LI) students only'!H24</f>
        <v>0.97569444444444431</v>
      </c>
      <c r="O36" s="35">
        <f>SUM(B24:H24)</f>
        <v>0.99545454545454537</v>
      </c>
      <c r="P36" s="35">
        <f t="shared" si="23"/>
        <v>1.9760101010101061E-2</v>
      </c>
      <c r="R36" t="s">
        <v>149</v>
      </c>
      <c r="S36">
        <v>55</v>
      </c>
      <c r="X36" t="s">
        <v>12</v>
      </c>
      <c r="Y36" s="35">
        <f>Y35+'Version 3 (GI) students only'!H24</f>
        <v>0.97602739726027399</v>
      </c>
      <c r="Z36" s="35">
        <f t="shared" si="28"/>
        <v>0.99545454545454537</v>
      </c>
      <c r="AA36" s="35">
        <f t="shared" si="24"/>
        <v>1.9427148194271382E-2</v>
      </c>
      <c r="AC36" t="s">
        <v>149</v>
      </c>
      <c r="AD36">
        <v>55</v>
      </c>
      <c r="AI36" t="s">
        <v>12</v>
      </c>
      <c r="AJ36" s="35">
        <f t="shared" si="29"/>
        <v>0.97602739726027399</v>
      </c>
      <c r="AK36" s="35">
        <f t="shared" si="30"/>
        <v>0.97569444444444431</v>
      </c>
      <c r="AL36" s="35">
        <f t="shared" si="25"/>
        <v>3.3295281582967906E-4</v>
      </c>
      <c r="AN36" t="s">
        <v>148</v>
      </c>
      <c r="AO36">
        <v>72</v>
      </c>
      <c r="AT36" s="35">
        <v>0.99603174603174593</v>
      </c>
      <c r="AU36" s="35"/>
      <c r="AV36" t="s">
        <v>12</v>
      </c>
      <c r="AW36" s="35">
        <f t="shared" si="31"/>
        <v>0.98602957164600991</v>
      </c>
      <c r="AX36" s="35">
        <f t="shared" si="32"/>
        <v>0.98557449494949489</v>
      </c>
      <c r="AY36">
        <f t="shared" si="26"/>
        <v>4.5507669651501104E-4</v>
      </c>
      <c r="BA36" t="s">
        <v>285</v>
      </c>
      <c r="BB36">
        <f>72+55</f>
        <v>127</v>
      </c>
      <c r="BG36" t="s">
        <v>12</v>
      </c>
      <c r="BH36" s="35">
        <f t="shared" si="33"/>
        <v>0.9957431457431456</v>
      </c>
      <c r="BI36" s="35">
        <f t="shared" si="34"/>
        <v>0.9758609208523592</v>
      </c>
      <c r="BJ36">
        <f t="shared" si="27"/>
        <v>1.9882224890786393E-2</v>
      </c>
      <c r="BL36" t="s">
        <v>289</v>
      </c>
      <c r="BM36">
        <v>145</v>
      </c>
    </row>
    <row r="37" spans="1:68" x14ac:dyDescent="0.25">
      <c r="A37" t="s">
        <v>134</v>
      </c>
      <c r="B37">
        <f>SUM(I9:I10,H8:H10, G7:G9, F6:F8,E7)</f>
        <v>57</v>
      </c>
      <c r="C37" s="11">
        <f t="shared" si="20"/>
        <v>0.25909090909090909</v>
      </c>
      <c r="D37">
        <v>12</v>
      </c>
      <c r="E37" s="9">
        <f t="shared" si="21"/>
        <v>0.1875</v>
      </c>
      <c r="G37" t="s">
        <v>1</v>
      </c>
      <c r="H37">
        <f>I10+H9+G8+F7</f>
        <v>15</v>
      </c>
      <c r="I37" s="14">
        <f t="shared" si="19"/>
        <v>6.8181818181818177E-2</v>
      </c>
      <c r="J37">
        <v>4</v>
      </c>
      <c r="K37" s="9">
        <f t="shared" si="22"/>
        <v>6.25E-2</v>
      </c>
      <c r="M37" t="s">
        <v>22</v>
      </c>
      <c r="N37" s="35">
        <f>N36+'version 4 (LI) students only'!I24</f>
        <v>0.99999999999999989</v>
      </c>
      <c r="O37" s="35">
        <f>SUM($B$24:$I$24)</f>
        <v>0.99999999999999989</v>
      </c>
      <c r="P37" s="35">
        <f t="shared" si="23"/>
        <v>0</v>
      </c>
      <c r="X37" t="s">
        <v>22</v>
      </c>
      <c r="Y37" s="35">
        <f>Y36+'Version 3 (GI) students only'!I24</f>
        <v>1</v>
      </c>
      <c r="Z37" s="35">
        <f t="shared" si="28"/>
        <v>0.99999999999999989</v>
      </c>
      <c r="AA37" s="35">
        <f t="shared" si="24"/>
        <v>1.1102230246251565E-16</v>
      </c>
      <c r="AI37" t="s">
        <v>22</v>
      </c>
      <c r="AJ37" s="35">
        <f t="shared" si="29"/>
        <v>1</v>
      </c>
      <c r="AK37" s="35">
        <f t="shared" si="30"/>
        <v>0.99999999999999989</v>
      </c>
      <c r="AL37" s="35">
        <f t="shared" si="25"/>
        <v>1.1102230246251565E-16</v>
      </c>
      <c r="AT37" s="35">
        <v>0.99999999999999989</v>
      </c>
      <c r="AU37" s="35"/>
      <c r="AV37" t="s">
        <v>22</v>
      </c>
      <c r="AW37" s="35">
        <f t="shared" si="31"/>
        <v>1</v>
      </c>
      <c r="AX37" s="35">
        <f t="shared" si="32"/>
        <v>0.99999999999999989</v>
      </c>
      <c r="AY37">
        <f t="shared" si="26"/>
        <v>1.1102230246251565E-16</v>
      </c>
      <c r="BG37" t="s">
        <v>22</v>
      </c>
      <c r="BH37" s="35">
        <f t="shared" si="33"/>
        <v>0.99999999999999989</v>
      </c>
      <c r="BI37" s="35">
        <f t="shared" si="34"/>
        <v>1</v>
      </c>
      <c r="BJ37">
        <f t="shared" si="27"/>
        <v>1.1102230246251565E-16</v>
      </c>
    </row>
    <row r="38" spans="1:68" x14ac:dyDescent="0.25">
      <c r="A38" t="s">
        <v>135</v>
      </c>
      <c r="B38">
        <f>SUM(E10:I10, E9:I9, E8:I8, E7:I7, F6:I6)</f>
        <v>73</v>
      </c>
      <c r="C38" s="11">
        <f t="shared" si="20"/>
        <v>0.33181818181818185</v>
      </c>
      <c r="D38">
        <v>24</v>
      </c>
      <c r="E38" s="9">
        <f t="shared" si="21"/>
        <v>0.375</v>
      </c>
      <c r="G38" t="s">
        <v>137</v>
      </c>
      <c r="H38">
        <f>SUM(F10:I10, F9:I9, F8:I8, F7:I7)</f>
        <v>35</v>
      </c>
      <c r="I38" s="14">
        <f t="shared" si="19"/>
        <v>0.15909090909090909</v>
      </c>
      <c r="J38">
        <v>16</v>
      </c>
      <c r="K38" s="9">
        <f t="shared" si="22"/>
        <v>0.25</v>
      </c>
      <c r="M38" t="s">
        <v>15</v>
      </c>
      <c r="P38" s="35">
        <f>MAX(P30:P37)</f>
        <v>9.7095959595959513E-2</v>
      </c>
      <c r="X38" t="s">
        <v>15</v>
      </c>
      <c r="AA38" s="35">
        <f>MAX(AA30:AA37)</f>
        <v>0.11811955168119548</v>
      </c>
      <c r="AI38" t="s">
        <v>15</v>
      </c>
      <c r="AJ38" s="35"/>
      <c r="AK38" s="35"/>
      <c r="AL38" s="35">
        <f>MAX(AL30:AL37)</f>
        <v>3.7195585996955882E-2</v>
      </c>
      <c r="AV38" t="s">
        <v>15</v>
      </c>
      <c r="AW38" s="35"/>
      <c r="AX38" s="35"/>
      <c r="AY38">
        <f>MAX(AY30:AY37)</f>
        <v>4.070660123742309E-2</v>
      </c>
      <c r="BG38" t="s">
        <v>15</v>
      </c>
      <c r="BH38" s="35"/>
      <c r="BI38" s="35"/>
      <c r="BJ38">
        <f>MAX(BJ30:BJ37)</f>
        <v>7.7412950443772388E-2</v>
      </c>
    </row>
    <row r="39" spans="1:68" x14ac:dyDescent="0.25">
      <c r="A39" t="s">
        <v>136</v>
      </c>
      <c r="B39">
        <f>SUM(B10:I10, C9:I9, D8:I8, E7:I7, F6:I6, G5:I5, H4:I4, I3)</f>
        <v>103</v>
      </c>
      <c r="C39" s="11">
        <f t="shared" si="20"/>
        <v>0.4681818181818182</v>
      </c>
      <c r="D39">
        <v>36</v>
      </c>
      <c r="E39" s="9">
        <f t="shared" si="21"/>
        <v>0.5625</v>
      </c>
      <c r="G39" t="s">
        <v>138</v>
      </c>
      <c r="H39">
        <f>SUM(C10:I10, D9:I9, E8:I8, F7:I7,G6:I6, H5:I5, I4)</f>
        <v>53</v>
      </c>
      <c r="I39" s="14">
        <f t="shared" si="19"/>
        <v>0.24090909090909091</v>
      </c>
      <c r="J39">
        <v>28</v>
      </c>
      <c r="K39" s="9">
        <f t="shared" si="22"/>
        <v>0.4375</v>
      </c>
      <c r="M39" t="s">
        <v>161</v>
      </c>
      <c r="AJ39" s="35"/>
      <c r="AK39" s="35"/>
      <c r="AW39" s="35"/>
      <c r="AX39" s="35"/>
      <c r="BH39" s="35"/>
      <c r="BI39" s="35"/>
    </row>
    <row r="40" spans="1:68" x14ac:dyDescent="0.25">
      <c r="C40" s="11"/>
      <c r="E40" s="9"/>
      <c r="I40" s="9"/>
      <c r="K40" s="9"/>
      <c r="M40" t="s">
        <v>93</v>
      </c>
      <c r="N40" s="35">
        <f>'version 4 (LI) students only'!J16</f>
        <v>4.5138888888888888E-2</v>
      </c>
      <c r="O40" s="35">
        <f>$J$16</f>
        <v>9.5454545454545459E-2</v>
      </c>
      <c r="P40" s="35">
        <f>ABS(N40-O40)</f>
        <v>5.031565656565657E-2</v>
      </c>
      <c r="X40" t="s">
        <v>93</v>
      </c>
      <c r="Y40" s="35">
        <f>'Version 3 (GI) students only'!J16</f>
        <v>8.9041095890410954E-2</v>
      </c>
      <c r="Z40" s="35">
        <f>O40</f>
        <v>9.5454545454545459E-2</v>
      </c>
      <c r="AA40" s="35">
        <f>ABS(Y40-Z40)</f>
        <v>6.4134495641345046E-3</v>
      </c>
      <c r="AI40" t="s">
        <v>93</v>
      </c>
      <c r="AJ40" s="35">
        <f t="shared" si="29"/>
        <v>8.9041095890410954E-2</v>
      </c>
      <c r="AK40" s="35">
        <f t="shared" si="30"/>
        <v>4.5138888888888888E-2</v>
      </c>
      <c r="AL40" s="35">
        <f>ABS(AJ40-AK40)</f>
        <v>4.3902207001522066E-2</v>
      </c>
      <c r="AT40" s="35">
        <v>7.9365079365079361E-3</v>
      </c>
      <c r="AU40" s="35"/>
      <c r="AV40" t="s">
        <v>93</v>
      </c>
      <c r="AW40" s="35">
        <f t="shared" si="31"/>
        <v>4.8488801913459445E-2</v>
      </c>
      <c r="AX40" s="35">
        <f t="shared" si="32"/>
        <v>7.0296717171717177E-2</v>
      </c>
      <c r="AY40">
        <f>ABS(AW40-AX40)</f>
        <v>2.1807915258257732E-2</v>
      </c>
      <c r="BG40" t="s">
        <v>93</v>
      </c>
      <c r="BH40" s="35">
        <f t="shared" si="33"/>
        <v>5.1695526695526697E-2</v>
      </c>
      <c r="BI40" s="35">
        <f t="shared" si="34"/>
        <v>6.7089992389649925E-2</v>
      </c>
      <c r="BJ40">
        <f>ABS(BH40-BI40)</f>
        <v>1.5394465694123227E-2</v>
      </c>
    </row>
    <row r="41" spans="1:68" x14ac:dyDescent="0.25">
      <c r="A41" t="s">
        <v>124</v>
      </c>
      <c r="B41">
        <f>B29-B35</f>
        <v>175</v>
      </c>
      <c r="C41" s="11">
        <v>1</v>
      </c>
      <c r="D41">
        <v>60</v>
      </c>
      <c r="E41" s="9">
        <v>1</v>
      </c>
      <c r="G41" t="s">
        <v>125</v>
      </c>
      <c r="H41">
        <f>H29-H35</f>
        <v>195</v>
      </c>
      <c r="I41" s="9">
        <v>1</v>
      </c>
      <c r="J41">
        <v>62</v>
      </c>
      <c r="K41" s="9">
        <v>1</v>
      </c>
      <c r="M41" t="s">
        <v>16</v>
      </c>
      <c r="N41" s="35">
        <f>'version 4 (LI) students only'!J17+N40</f>
        <v>7.6388888888888895E-2</v>
      </c>
      <c r="O41" s="35">
        <f>SUM($J$16:$J$17)</f>
        <v>0.16363636363636364</v>
      </c>
      <c r="P41" s="35">
        <f t="shared" ref="P41:P47" si="35">ABS(N41-O41)</f>
        <v>8.724747474747474E-2</v>
      </c>
      <c r="X41" t="s">
        <v>16</v>
      </c>
      <c r="Y41" s="35">
        <f>'Version 3 (GI) students only'!J17+Y40</f>
        <v>0.1678082191780822</v>
      </c>
      <c r="Z41" s="35">
        <f t="shared" ref="Z41:Z81" si="36">O41</f>
        <v>0.16363636363636364</v>
      </c>
      <c r="AA41" s="35">
        <f t="shared" ref="AA41:AA47" si="37">ABS(Y41-Z41)</f>
        <v>4.171855541718561E-3</v>
      </c>
      <c r="AI41" t="s">
        <v>16</v>
      </c>
      <c r="AJ41" s="35">
        <f t="shared" si="29"/>
        <v>0.1678082191780822</v>
      </c>
      <c r="AK41" s="35">
        <f t="shared" si="30"/>
        <v>7.6388888888888895E-2</v>
      </c>
      <c r="AL41" s="35">
        <f t="shared" ref="AL41:AL47" si="38">ABS(AJ41-AK41)</f>
        <v>9.1419330289193301E-2</v>
      </c>
      <c r="AT41" s="35">
        <v>5.1587301587301584E-2</v>
      </c>
      <c r="AU41" s="35"/>
      <c r="AV41" t="s">
        <v>16</v>
      </c>
      <c r="AW41" s="35">
        <f t="shared" si="31"/>
        <v>0.10969776038269188</v>
      </c>
      <c r="AX41" s="35">
        <f t="shared" si="32"/>
        <v>0.12001262626262627</v>
      </c>
      <c r="AY41">
        <f t="shared" ref="AY41:AY47" si="39">ABS(AW41-AX41)</f>
        <v>1.0314865879934382E-2</v>
      </c>
      <c r="BG41" t="s">
        <v>16</v>
      </c>
      <c r="BH41" s="35">
        <f t="shared" si="33"/>
        <v>0.1076118326118326</v>
      </c>
      <c r="BI41" s="35">
        <f t="shared" si="34"/>
        <v>0.12209855403348555</v>
      </c>
      <c r="BJ41">
        <f t="shared" ref="BJ41:BJ47" si="40">ABS(BH41-BI41)</f>
        <v>1.4486721421652943E-2</v>
      </c>
    </row>
    <row r="42" spans="1:68" x14ac:dyDescent="0.25">
      <c r="A42" t="s">
        <v>80</v>
      </c>
      <c r="B42">
        <f>B34-B35</f>
        <v>69</v>
      </c>
      <c r="C42" s="11">
        <f>B42/B$41</f>
        <v>0.39428571428571429</v>
      </c>
      <c r="D42">
        <v>18</v>
      </c>
      <c r="E42" s="9">
        <f>D42/D$41</f>
        <v>0.3</v>
      </c>
      <c r="G42" t="s">
        <v>122</v>
      </c>
      <c r="H42">
        <f>H34-E7-F6</f>
        <v>45</v>
      </c>
      <c r="I42" s="9">
        <f>H42/$H$41</f>
        <v>0.23076923076923078</v>
      </c>
      <c r="J42">
        <v>6</v>
      </c>
      <c r="K42" s="9">
        <f>J42/J$41</f>
        <v>9.6774193548387094E-2</v>
      </c>
      <c r="M42" t="s">
        <v>17</v>
      </c>
      <c r="N42" s="35">
        <f>'version 4 (LI) students only'!J18+N41</f>
        <v>0.26736111111111116</v>
      </c>
      <c r="O42" s="35">
        <f>SUM($J$16:$J$18)</f>
        <v>0.42272727272727273</v>
      </c>
      <c r="P42" s="35">
        <f t="shared" si="35"/>
        <v>0.15536616161616157</v>
      </c>
      <c r="X42" t="s">
        <v>17</v>
      </c>
      <c r="Y42" s="35">
        <f>'Version 3 (GI) students only'!J18+Y41</f>
        <v>0.29794520547945202</v>
      </c>
      <c r="Z42" s="35">
        <f t="shared" si="36"/>
        <v>0.42272727272727273</v>
      </c>
      <c r="AA42" s="35">
        <f t="shared" si="37"/>
        <v>0.1247820672478207</v>
      </c>
      <c r="AI42" t="s">
        <v>17</v>
      </c>
      <c r="AJ42" s="35">
        <f t="shared" si="29"/>
        <v>0.29794520547945202</v>
      </c>
      <c r="AK42" s="35">
        <f t="shared" si="30"/>
        <v>0.26736111111111116</v>
      </c>
      <c r="AL42" s="35">
        <f t="shared" si="38"/>
        <v>3.0584094368340864E-2</v>
      </c>
      <c r="AT42" s="35">
        <v>0.26587301587301582</v>
      </c>
      <c r="AU42" s="35"/>
      <c r="AV42" t="s">
        <v>17</v>
      </c>
      <c r="AW42" s="35">
        <f t="shared" si="31"/>
        <v>0.28190911067623392</v>
      </c>
      <c r="AX42" s="35">
        <f t="shared" si="32"/>
        <v>0.34504419191919194</v>
      </c>
      <c r="AY42">
        <f t="shared" si="39"/>
        <v>6.3135081242958024E-2</v>
      </c>
      <c r="BG42" t="s">
        <v>17</v>
      </c>
      <c r="BH42" s="35">
        <f t="shared" si="33"/>
        <v>0.34430014430014427</v>
      </c>
      <c r="BI42" s="35">
        <f t="shared" si="34"/>
        <v>0.28265315829528159</v>
      </c>
      <c r="BJ42">
        <f t="shared" si="40"/>
        <v>6.1646986004862681E-2</v>
      </c>
    </row>
    <row r="43" spans="1:68" x14ac:dyDescent="0.25">
      <c r="C43" s="10"/>
      <c r="E43" s="9"/>
      <c r="M43" t="s">
        <v>18</v>
      </c>
      <c r="N43" s="35">
        <f>'version 4 (LI) students only'!J19+N42</f>
        <v>0.49652777777777779</v>
      </c>
      <c r="O43" s="35">
        <f>SUM($J$16:$J$19)</f>
        <v>0.56363636363636371</v>
      </c>
      <c r="P43" s="35">
        <f t="shared" si="35"/>
        <v>6.7108585858585923E-2</v>
      </c>
      <c r="X43" t="s">
        <v>18</v>
      </c>
      <c r="Y43" s="35">
        <f>'Version 3 (GI) students only'!J19+Y42</f>
        <v>0.47945205479452047</v>
      </c>
      <c r="Z43" s="35">
        <f t="shared" si="36"/>
        <v>0.56363636363636371</v>
      </c>
      <c r="AA43" s="35">
        <f t="shared" si="37"/>
        <v>8.4184308841843247E-2</v>
      </c>
      <c r="AI43" t="s">
        <v>18</v>
      </c>
      <c r="AJ43" s="35">
        <f t="shared" si="29"/>
        <v>0.47945205479452047</v>
      </c>
      <c r="AK43" s="35">
        <f t="shared" si="30"/>
        <v>0.49652777777777779</v>
      </c>
      <c r="AL43" s="35">
        <f t="shared" si="38"/>
        <v>1.7075722983257324E-2</v>
      </c>
      <c r="AT43" s="35">
        <v>0.5436507936507935</v>
      </c>
      <c r="AU43" s="35"/>
      <c r="AV43" t="s">
        <v>18</v>
      </c>
      <c r="AW43" s="35">
        <f t="shared" si="31"/>
        <v>0.51155142422265698</v>
      </c>
      <c r="AX43" s="35">
        <f t="shared" si="32"/>
        <v>0.53008207070707081</v>
      </c>
      <c r="AY43">
        <f t="shared" si="39"/>
        <v>1.8530646484413826E-2</v>
      </c>
      <c r="BG43" t="s">
        <v>18</v>
      </c>
      <c r="BH43" s="35">
        <f t="shared" si="33"/>
        <v>0.5536435786435786</v>
      </c>
      <c r="BI43" s="35">
        <f t="shared" si="34"/>
        <v>0.48798991628614913</v>
      </c>
      <c r="BJ43">
        <f t="shared" si="40"/>
        <v>6.5653662357429476E-2</v>
      </c>
    </row>
    <row r="44" spans="1:68" x14ac:dyDescent="0.25">
      <c r="A44" t="s">
        <v>81</v>
      </c>
      <c r="B44">
        <f>B29-B34</f>
        <v>106</v>
      </c>
      <c r="C44" s="10">
        <f t="shared" ref="C44:C52" si="41">B44/B$44</f>
        <v>1</v>
      </c>
      <c r="D44">
        <v>42</v>
      </c>
      <c r="E44" s="9">
        <f t="shared" ref="E44:E52" si="42">D44/D$44</f>
        <v>1</v>
      </c>
      <c r="G44" t="s">
        <v>129</v>
      </c>
      <c r="H44">
        <f>H29-H34</f>
        <v>150</v>
      </c>
      <c r="I44" s="32">
        <f>H44/H$44</f>
        <v>1</v>
      </c>
      <c r="J44">
        <f>J29-J34</f>
        <v>54</v>
      </c>
      <c r="K44" s="9">
        <f t="shared" ref="K44:K52" si="43">J44/J$44</f>
        <v>1</v>
      </c>
      <c r="M44" t="s">
        <v>19</v>
      </c>
      <c r="N44" s="35">
        <f>'version 4 (LI) students only'!J20+N43</f>
        <v>0.81597222222222221</v>
      </c>
      <c r="O44" s="35">
        <f>SUM($J$16:$J$20)</f>
        <v>0.81818181818181823</v>
      </c>
      <c r="P44" s="35">
        <f t="shared" si="35"/>
        <v>2.2095959595960224E-3</v>
      </c>
      <c r="X44" t="s">
        <v>19</v>
      </c>
      <c r="Y44" s="35">
        <f>'Version 3 (GI) students only'!J20+Y43</f>
        <v>0.78082191780821919</v>
      </c>
      <c r="Z44" s="35">
        <f t="shared" si="36"/>
        <v>0.81818181818181823</v>
      </c>
      <c r="AA44" s="35">
        <f t="shared" si="37"/>
        <v>3.7359900373599042E-2</v>
      </c>
      <c r="AI44" t="s">
        <v>19</v>
      </c>
      <c r="AJ44" s="35">
        <f t="shared" si="29"/>
        <v>0.78082191780821919</v>
      </c>
      <c r="AK44" s="35">
        <f t="shared" si="30"/>
        <v>0.81597222222222221</v>
      </c>
      <c r="AL44" s="35">
        <f t="shared" si="38"/>
        <v>3.515030441400302E-2</v>
      </c>
      <c r="AT44" s="35">
        <v>0.83333333333333315</v>
      </c>
      <c r="AU44" s="35"/>
      <c r="AV44" t="s">
        <v>19</v>
      </c>
      <c r="AW44" s="35">
        <f t="shared" si="31"/>
        <v>0.80707762557077611</v>
      </c>
      <c r="AX44" s="35">
        <f t="shared" si="32"/>
        <v>0.81707702020202022</v>
      </c>
      <c r="AY44">
        <f t="shared" si="39"/>
        <v>9.9993946312441073E-3</v>
      </c>
      <c r="BG44" t="s">
        <v>19</v>
      </c>
      <c r="BH44" s="35">
        <f t="shared" si="33"/>
        <v>0.82575757575757569</v>
      </c>
      <c r="BI44" s="35">
        <f t="shared" si="34"/>
        <v>0.79839707001522076</v>
      </c>
      <c r="BJ44">
        <f t="shared" si="40"/>
        <v>2.7360505742354935E-2</v>
      </c>
    </row>
    <row r="45" spans="1:68" x14ac:dyDescent="0.25">
      <c r="A45" t="s">
        <v>82</v>
      </c>
      <c r="B45">
        <f>B30</f>
        <v>3</v>
      </c>
      <c r="C45" s="11">
        <f t="shared" si="41"/>
        <v>2.8301886792452831E-2</v>
      </c>
      <c r="D45">
        <v>3</v>
      </c>
      <c r="E45" s="9">
        <f t="shared" si="42"/>
        <v>7.1428571428571425E-2</v>
      </c>
      <c r="G45" t="s">
        <v>130</v>
      </c>
      <c r="H45">
        <f>H30</f>
        <v>0</v>
      </c>
      <c r="I45" s="32">
        <f>H45/H$44</f>
        <v>0</v>
      </c>
      <c r="J45">
        <v>1</v>
      </c>
      <c r="K45" s="9">
        <f t="shared" si="43"/>
        <v>1.8518518518518517E-2</v>
      </c>
      <c r="M45" t="s">
        <v>20</v>
      </c>
      <c r="N45" s="35">
        <f>'version 4 (LI) students only'!J21+N44</f>
        <v>0.91666666666666663</v>
      </c>
      <c r="O45" s="35">
        <f>SUM($J$16:$J$21)</f>
        <v>0.95000000000000007</v>
      </c>
      <c r="P45" s="35">
        <f t="shared" si="35"/>
        <v>3.3333333333333437E-2</v>
      </c>
      <c r="X45" t="s">
        <v>20</v>
      </c>
      <c r="Y45" s="35">
        <f>'Version 3 (GI) students only'!J21+Y44</f>
        <v>0.9178082191780822</v>
      </c>
      <c r="Z45" s="35">
        <f t="shared" si="36"/>
        <v>0.95000000000000007</v>
      </c>
      <c r="AA45" s="35">
        <f t="shared" si="37"/>
        <v>3.219178082191787E-2</v>
      </c>
      <c r="AI45" t="s">
        <v>20</v>
      </c>
      <c r="AJ45" s="35">
        <f t="shared" si="29"/>
        <v>0.9178082191780822</v>
      </c>
      <c r="AK45" s="35">
        <f t="shared" si="30"/>
        <v>0.91666666666666663</v>
      </c>
      <c r="AL45" s="35">
        <f t="shared" si="38"/>
        <v>1.1415525114155667E-3</v>
      </c>
      <c r="AT45" s="35">
        <v>0.94047619047619024</v>
      </c>
      <c r="AU45" s="35"/>
      <c r="AV45" t="s">
        <v>20</v>
      </c>
      <c r="AW45" s="35">
        <f t="shared" si="31"/>
        <v>0.92914220482713628</v>
      </c>
      <c r="AX45" s="35">
        <f t="shared" si="32"/>
        <v>0.93333333333333335</v>
      </c>
      <c r="AY45">
        <f t="shared" si="39"/>
        <v>4.1911285061970727E-3</v>
      </c>
      <c r="BG45" t="s">
        <v>20</v>
      </c>
      <c r="BH45" s="35">
        <f t="shared" si="33"/>
        <v>0.94523809523809521</v>
      </c>
      <c r="BI45" s="35">
        <f t="shared" si="34"/>
        <v>0.91723744292237441</v>
      </c>
      <c r="BJ45">
        <f t="shared" si="40"/>
        <v>2.8000652315720798E-2</v>
      </c>
    </row>
    <row r="46" spans="1:68" x14ac:dyDescent="0.25">
      <c r="A46" t="s">
        <v>77</v>
      </c>
      <c r="B46">
        <f>B31-(SUM(E6:E7,F6))</f>
        <v>46</v>
      </c>
      <c r="C46" s="11">
        <f t="shared" si="41"/>
        <v>0.43396226415094341</v>
      </c>
      <c r="D46">
        <v>9</v>
      </c>
      <c r="E46" s="9">
        <f t="shared" si="42"/>
        <v>0.21428571428571427</v>
      </c>
      <c r="G46" t="s">
        <v>131</v>
      </c>
      <c r="H46">
        <f>H31</f>
        <v>30</v>
      </c>
      <c r="I46" s="32">
        <f>H46/H$44</f>
        <v>0.2</v>
      </c>
      <c r="J46">
        <v>4</v>
      </c>
      <c r="K46" s="9">
        <f t="shared" si="43"/>
        <v>7.407407407407407E-2</v>
      </c>
      <c r="M46" t="s">
        <v>21</v>
      </c>
      <c r="N46" s="35">
        <f>'version 4 (LI) students only'!J22+N45</f>
        <v>0.98958333333333326</v>
      </c>
      <c r="O46" s="35">
        <f>SUM($J$16:$J$22)</f>
        <v>0.99090909090909096</v>
      </c>
      <c r="P46" s="35">
        <f t="shared" si="35"/>
        <v>1.3257575757577023E-3</v>
      </c>
      <c r="X46" t="s">
        <v>21</v>
      </c>
      <c r="Y46" s="35">
        <f>'Version 3 (GI) students only'!J22+Y45</f>
        <v>0.97602739726027399</v>
      </c>
      <c r="Z46" s="35">
        <f t="shared" si="36"/>
        <v>0.99090909090909096</v>
      </c>
      <c r="AA46" s="35">
        <f t="shared" si="37"/>
        <v>1.4881693648816974E-2</v>
      </c>
      <c r="AI46" t="s">
        <v>21</v>
      </c>
      <c r="AJ46" s="35">
        <f t="shared" si="29"/>
        <v>0.97602739726027399</v>
      </c>
      <c r="AK46" s="35">
        <f t="shared" si="30"/>
        <v>0.98958333333333326</v>
      </c>
      <c r="AL46" s="35">
        <f t="shared" si="38"/>
        <v>1.3555936073059272E-2</v>
      </c>
      <c r="AT46" s="35">
        <v>0.99206349206349187</v>
      </c>
      <c r="AU46" s="35"/>
      <c r="AV46" t="s">
        <v>21</v>
      </c>
      <c r="AW46" s="35">
        <f t="shared" si="31"/>
        <v>0.98404544466188293</v>
      </c>
      <c r="AX46" s="35">
        <f t="shared" si="32"/>
        <v>0.99024621212121211</v>
      </c>
      <c r="AY46">
        <f t="shared" si="39"/>
        <v>6.2007674593291817E-3</v>
      </c>
      <c r="BG46" t="s">
        <v>21</v>
      </c>
      <c r="BH46" s="35">
        <f t="shared" si="33"/>
        <v>0.99148629148629142</v>
      </c>
      <c r="BI46" s="35">
        <f t="shared" si="34"/>
        <v>0.98280536529680362</v>
      </c>
      <c r="BJ46">
        <f t="shared" si="40"/>
        <v>8.680926189487792E-3</v>
      </c>
    </row>
    <row r="47" spans="1:68" x14ac:dyDescent="0.25">
      <c r="A47" t="s">
        <v>78</v>
      </c>
      <c r="B47">
        <f>$B$32-SUM($D$7, $E$6:E$7, $F$5:$F$6)</f>
        <v>73</v>
      </c>
      <c r="C47" s="11">
        <f t="shared" si="41"/>
        <v>0.68867924528301883</v>
      </c>
      <c r="D47">
        <v>19</v>
      </c>
      <c r="E47" s="9">
        <f t="shared" si="42"/>
        <v>0.45238095238095238</v>
      </c>
      <c r="G47" t="s">
        <v>132</v>
      </c>
      <c r="H47">
        <f>H32</f>
        <v>75</v>
      </c>
      <c r="I47" s="32">
        <f t="shared" ref="I47:I52" si="44">H47/H$44</f>
        <v>0.5</v>
      </c>
      <c r="J47">
        <v>16</v>
      </c>
      <c r="K47" s="9">
        <f t="shared" si="43"/>
        <v>0.29629629629629628</v>
      </c>
      <c r="M47" t="s">
        <v>23</v>
      </c>
      <c r="N47" s="35">
        <f>'version 4 (LI) students only'!J23+N46</f>
        <v>0.99999999999999989</v>
      </c>
      <c r="O47" s="35">
        <f>SUM($J$16:$J$23)</f>
        <v>1</v>
      </c>
      <c r="P47" s="35">
        <f t="shared" si="35"/>
        <v>1.1102230246251565E-16</v>
      </c>
      <c r="X47" t="s">
        <v>23</v>
      </c>
      <c r="Y47" s="35">
        <f>'Version 3 (GI) students only'!J23+Y46</f>
        <v>1</v>
      </c>
      <c r="Z47" s="35">
        <f t="shared" si="36"/>
        <v>1</v>
      </c>
      <c r="AA47" s="35">
        <f t="shared" si="37"/>
        <v>0</v>
      </c>
      <c r="AI47" t="s">
        <v>23</v>
      </c>
      <c r="AJ47" s="35">
        <f t="shared" si="29"/>
        <v>1</v>
      </c>
      <c r="AK47" s="35">
        <f t="shared" si="30"/>
        <v>0.99999999999999989</v>
      </c>
      <c r="AL47" s="35">
        <f t="shared" si="38"/>
        <v>1.1102230246251565E-16</v>
      </c>
      <c r="AT47" s="35">
        <v>0.99999999999999978</v>
      </c>
      <c r="AU47" s="35"/>
      <c r="AV47" t="s">
        <v>23</v>
      </c>
      <c r="AW47" s="35">
        <f t="shared" si="31"/>
        <v>0.99999999999999989</v>
      </c>
      <c r="AX47" s="35">
        <f t="shared" si="32"/>
        <v>1</v>
      </c>
      <c r="AY47">
        <f t="shared" si="39"/>
        <v>1.1102230246251565E-16</v>
      </c>
      <c r="BG47" t="s">
        <v>23</v>
      </c>
      <c r="BH47" s="35">
        <f t="shared" si="33"/>
        <v>0.99999999999999989</v>
      </c>
      <c r="BI47" s="35">
        <f t="shared" si="34"/>
        <v>1</v>
      </c>
      <c r="BJ47">
        <f t="shared" si="40"/>
        <v>1.1102230246251565E-16</v>
      </c>
    </row>
    <row r="48" spans="1:68" x14ac:dyDescent="0.25">
      <c r="A48" t="s">
        <v>79</v>
      </c>
      <c r="B48">
        <f>B$33-SUM(B$9:B$10, C$8:C$9, D$7:D$8, E$6:E$7, F$5:F$6, G$4:G$5, H$3:H$4, I$3)</f>
        <v>76</v>
      </c>
      <c r="C48" s="11">
        <f t="shared" si="41"/>
        <v>0.71698113207547165</v>
      </c>
      <c r="D48">
        <v>21</v>
      </c>
      <c r="E48" s="9">
        <f t="shared" si="42"/>
        <v>0.5</v>
      </c>
      <c r="G48" t="s">
        <v>133</v>
      </c>
      <c r="H48">
        <f>H33</f>
        <v>117</v>
      </c>
      <c r="I48" s="32">
        <f t="shared" si="44"/>
        <v>0.78</v>
      </c>
      <c r="J48">
        <v>28</v>
      </c>
      <c r="K48" s="9">
        <f t="shared" si="43"/>
        <v>0.51851851851851849</v>
      </c>
      <c r="M48" t="s">
        <v>15</v>
      </c>
      <c r="P48" s="35">
        <f>MAX(P40:P47)</f>
        <v>0.15536616161616157</v>
      </c>
      <c r="X48" t="s">
        <v>15</v>
      </c>
      <c r="Z48" s="35"/>
      <c r="AA48" s="35">
        <f>MAX(AA40:AA47)</f>
        <v>0.1247820672478207</v>
      </c>
      <c r="AI48" t="s">
        <v>15</v>
      </c>
      <c r="AJ48" s="35"/>
      <c r="AK48" s="35"/>
      <c r="AL48" s="35">
        <f>MAX(AL40:AL47)</f>
        <v>9.1419330289193301E-2</v>
      </c>
      <c r="AV48" t="s">
        <v>15</v>
      </c>
      <c r="AW48" s="35"/>
      <c r="AX48" s="35"/>
      <c r="AY48">
        <f>MAX(AY40:AY47)</f>
        <v>6.3135081242958024E-2</v>
      </c>
      <c r="BG48" t="s">
        <v>15</v>
      </c>
      <c r="BH48" s="35"/>
      <c r="BI48" s="35"/>
      <c r="BJ48">
        <f>MAX(BJ40:BJ47)</f>
        <v>6.5653662357429476E-2</v>
      </c>
    </row>
    <row r="49" spans="1:62" x14ac:dyDescent="0.25">
      <c r="A49" t="s">
        <v>201</v>
      </c>
      <c r="B49">
        <f>B36</f>
        <v>0</v>
      </c>
      <c r="C49" s="11">
        <f t="shared" si="41"/>
        <v>0</v>
      </c>
      <c r="D49">
        <v>3</v>
      </c>
      <c r="E49" s="9">
        <f t="shared" si="42"/>
        <v>7.1428571428571425E-2</v>
      </c>
      <c r="G49" t="s">
        <v>199</v>
      </c>
      <c r="H49">
        <v>0</v>
      </c>
      <c r="I49" s="32">
        <f t="shared" si="44"/>
        <v>0</v>
      </c>
      <c r="J49">
        <v>1</v>
      </c>
      <c r="K49" s="9">
        <f t="shared" si="43"/>
        <v>1.8518518518518517E-2</v>
      </c>
      <c r="M49" t="s">
        <v>162</v>
      </c>
      <c r="Z49" s="35"/>
      <c r="AJ49" s="35"/>
      <c r="AK49" s="35"/>
      <c r="AW49" s="35"/>
      <c r="AX49" s="35"/>
      <c r="BH49" s="35"/>
      <c r="BI49" s="35"/>
    </row>
    <row r="50" spans="1:62" x14ac:dyDescent="0.25">
      <c r="A50" t="s">
        <v>139</v>
      </c>
      <c r="B50">
        <f>B37-SUM(F6:F7,E7)</f>
        <v>25</v>
      </c>
      <c r="C50" s="11">
        <f t="shared" si="41"/>
        <v>0.23584905660377359</v>
      </c>
      <c r="D50">
        <v>9</v>
      </c>
      <c r="E50" s="9">
        <f t="shared" si="42"/>
        <v>0.21428571428571427</v>
      </c>
      <c r="G50" t="s">
        <v>0</v>
      </c>
      <c r="H50">
        <f>I10+H9+G8+F7</f>
        <v>15</v>
      </c>
      <c r="I50" s="32">
        <f t="shared" si="44"/>
        <v>0.1</v>
      </c>
      <c r="J50">
        <v>4</v>
      </c>
      <c r="K50" s="9">
        <f t="shared" si="43"/>
        <v>7.407407407407407E-2</v>
      </c>
      <c r="M50" t="s">
        <v>24</v>
      </c>
      <c r="N50" s="35">
        <f>'Version 4 (LI)'!B16</f>
        <v>0</v>
      </c>
      <c r="O50" s="35">
        <f>$B$16</f>
        <v>0</v>
      </c>
      <c r="P50" s="35">
        <f>ABS(N50-O50)</f>
        <v>0</v>
      </c>
      <c r="X50" t="s">
        <v>24</v>
      </c>
      <c r="Y50" s="35">
        <f>'Version 3 (GI) students only'!B16</f>
        <v>3.4246575342465752E-3</v>
      </c>
      <c r="Z50" s="35">
        <f t="shared" si="36"/>
        <v>0</v>
      </c>
      <c r="AA50" s="35">
        <f>ABS(Y50-Z50)</f>
        <v>3.4246575342465752E-3</v>
      </c>
      <c r="AI50" t="s">
        <v>24</v>
      </c>
      <c r="AJ50" s="35">
        <f t="shared" si="29"/>
        <v>3.4246575342465752E-3</v>
      </c>
      <c r="AK50" s="35">
        <f t="shared" si="30"/>
        <v>0</v>
      </c>
      <c r="AL50" s="35">
        <f>ABS(AJ50-AK50)</f>
        <v>3.4246575342465752E-3</v>
      </c>
      <c r="AT50" s="35">
        <v>0</v>
      </c>
      <c r="AU50" s="35"/>
      <c r="AV50" t="s">
        <v>24</v>
      </c>
      <c r="AW50" s="35">
        <f t="shared" si="31"/>
        <v>1.7123287671232876E-3</v>
      </c>
      <c r="AX50" s="35">
        <f t="shared" si="32"/>
        <v>0</v>
      </c>
      <c r="AY50">
        <f>ABS(AW50-AX50)</f>
        <v>1.7123287671232876E-3</v>
      </c>
      <c r="BG50" t="s">
        <v>24</v>
      </c>
      <c r="BH50" s="35">
        <f t="shared" si="33"/>
        <v>0</v>
      </c>
      <c r="BI50" s="35">
        <f t="shared" si="34"/>
        <v>1.7123287671232876E-3</v>
      </c>
      <c r="BJ50">
        <f>ABS(BH50-BI50)</f>
        <v>1.7123287671232876E-3</v>
      </c>
    </row>
    <row r="51" spans="1:62" x14ac:dyDescent="0.25">
      <c r="A51" t="s">
        <v>140</v>
      </c>
      <c r="B51">
        <f>SUM(E10:I10, E9:I9, F8:I8, G7:I7, H6:I6)</f>
        <v>30</v>
      </c>
      <c r="C51" s="11">
        <f t="shared" si="41"/>
        <v>0.28301886792452829</v>
      </c>
      <c r="D51">
        <v>19</v>
      </c>
      <c r="E51" s="9">
        <f t="shared" si="42"/>
        <v>0.45238095238095238</v>
      </c>
      <c r="G51" t="s">
        <v>143</v>
      </c>
      <c r="H51">
        <f>SUM(F7:I10)</f>
        <v>35</v>
      </c>
      <c r="I51" s="32">
        <f t="shared" si="44"/>
        <v>0.23333333333333334</v>
      </c>
      <c r="J51">
        <v>16</v>
      </c>
      <c r="K51" s="9">
        <f t="shared" si="43"/>
        <v>0.29629629629629628</v>
      </c>
      <c r="M51" t="s">
        <v>25</v>
      </c>
      <c r="N51" s="35">
        <f>N50+'version 4 (LI) students only'!B17+'version 4 (LI) students only'!C16</f>
        <v>3.472222222222222E-3</v>
      </c>
      <c r="O51" s="35">
        <f>O50+B17+C16</f>
        <v>1.3636363636363636E-2</v>
      </c>
      <c r="P51" s="35">
        <f t="shared" ref="P51:P64" si="45">ABS(N51-O51)</f>
        <v>1.0164141414141414E-2</v>
      </c>
      <c r="X51" t="s">
        <v>25</v>
      </c>
      <c r="Y51" s="35">
        <f>Y50+'Version 3 (GI) students only'!B17+'Version 3 (GI) students only'!C16</f>
        <v>1.3698630136986301E-2</v>
      </c>
      <c r="Z51" s="35">
        <f t="shared" si="36"/>
        <v>1.3636363636363636E-2</v>
      </c>
      <c r="AA51" s="35">
        <f t="shared" ref="AA51:AA64" si="46">ABS(Y51-Z51)</f>
        <v>6.2266500622664908E-5</v>
      </c>
      <c r="AI51" t="s">
        <v>25</v>
      </c>
      <c r="AJ51" s="35">
        <f t="shared" si="29"/>
        <v>1.3698630136986301E-2</v>
      </c>
      <c r="AK51" s="35">
        <f t="shared" si="30"/>
        <v>3.472222222222222E-3</v>
      </c>
      <c r="AL51" s="35">
        <f t="shared" ref="AL51:AL64" si="47">ABS(AJ51-AK51)</f>
        <v>1.0226407914764079E-2</v>
      </c>
      <c r="AT51" s="35">
        <v>3.968253968253968E-3</v>
      </c>
      <c r="AU51" s="35"/>
      <c r="AV51" t="s">
        <v>25</v>
      </c>
      <c r="AW51" s="35">
        <f t="shared" si="31"/>
        <v>8.8334420526201343E-3</v>
      </c>
      <c r="AX51" s="35">
        <f t="shared" si="32"/>
        <v>8.5542929292929289E-3</v>
      </c>
      <c r="AY51">
        <f t="shared" ref="AY51:AY64" si="48">ABS(AW51-AX51)</f>
        <v>2.7914912332720546E-4</v>
      </c>
      <c r="BG51" t="s">
        <v>25</v>
      </c>
      <c r="BH51" s="35">
        <f t="shared" si="33"/>
        <v>8.802308802308801E-3</v>
      </c>
      <c r="BI51" s="35">
        <f t="shared" si="34"/>
        <v>8.5854261796042622E-3</v>
      </c>
      <c r="BJ51">
        <f t="shared" ref="BJ51:BJ64" si="49">ABS(BH51-BI51)</f>
        <v>2.1688262270453881E-4</v>
      </c>
    </row>
    <row r="52" spans="1:62" x14ac:dyDescent="0.25">
      <c r="A52" t="s">
        <v>141</v>
      </c>
      <c r="B52">
        <f>SUM(D10:I10, E9:I9, F8:I8, G7:I7, H6:I6, I5)</f>
        <v>30</v>
      </c>
      <c r="C52" s="11">
        <f t="shared" si="41"/>
        <v>0.28301886792452829</v>
      </c>
      <c r="D52">
        <v>21</v>
      </c>
      <c r="E52" s="9">
        <f t="shared" si="42"/>
        <v>0.5</v>
      </c>
      <c r="G52" t="s">
        <v>144</v>
      </c>
      <c r="H52">
        <f>H39</f>
        <v>53</v>
      </c>
      <c r="I52" s="32">
        <f t="shared" si="44"/>
        <v>0.35333333333333333</v>
      </c>
      <c r="J52">
        <v>28</v>
      </c>
      <c r="K52" s="9">
        <f t="shared" si="43"/>
        <v>0.51851851851851849</v>
      </c>
      <c r="M52" t="s">
        <v>26</v>
      </c>
      <c r="N52" s="35">
        <f>N51+'version 4 (LI) students only'!B18+'version 4 (LI) students only'!C17+'version 4 (LI) students only'!D16</f>
        <v>1.7361111111111112E-2</v>
      </c>
      <c r="O52" s="35">
        <f>O51+B18+C17+D16</f>
        <v>5.4545454545454543E-2</v>
      </c>
      <c r="P52" s="35">
        <f t="shared" si="45"/>
        <v>3.7184343434343431E-2</v>
      </c>
      <c r="X52" t="s">
        <v>26</v>
      </c>
      <c r="Y52" s="35">
        <f>Y51+'Version 3 (GI) students only'!B18+'Version 3 (GI) students only'!C17+'Version 3 (GI) students only'!D16</f>
        <v>2.7397260273972601E-2</v>
      </c>
      <c r="Z52" s="35">
        <f t="shared" si="36"/>
        <v>5.4545454545454543E-2</v>
      </c>
      <c r="AA52" s="35">
        <f t="shared" si="46"/>
        <v>2.7148194271481942E-2</v>
      </c>
      <c r="AI52" t="s">
        <v>26</v>
      </c>
      <c r="AJ52" s="35">
        <f t="shared" si="29"/>
        <v>2.7397260273972601E-2</v>
      </c>
      <c r="AK52" s="35">
        <f t="shared" si="30"/>
        <v>1.7361111111111112E-2</v>
      </c>
      <c r="AL52" s="35">
        <f t="shared" si="47"/>
        <v>1.0036149162861489E-2</v>
      </c>
      <c r="AT52" s="35">
        <v>3.968253968253968E-3</v>
      </c>
      <c r="AU52" s="35"/>
      <c r="AV52" t="s">
        <v>26</v>
      </c>
      <c r="AW52" s="35">
        <f t="shared" si="31"/>
        <v>1.5682757121113285E-2</v>
      </c>
      <c r="AX52" s="35">
        <f t="shared" si="32"/>
        <v>3.5953282828282827E-2</v>
      </c>
      <c r="AY52">
        <f t="shared" si="48"/>
        <v>2.0270525707169543E-2</v>
      </c>
      <c r="BG52" t="s">
        <v>26</v>
      </c>
      <c r="BH52" s="35">
        <f t="shared" si="33"/>
        <v>2.9256854256854255E-2</v>
      </c>
      <c r="BI52" s="35">
        <f t="shared" si="34"/>
        <v>2.2379185692541857E-2</v>
      </c>
      <c r="BJ52">
        <f t="shared" si="49"/>
        <v>6.8776685643123989E-3</v>
      </c>
    </row>
    <row r="53" spans="1:62" x14ac:dyDescent="0.25">
      <c r="M53" t="s">
        <v>27</v>
      </c>
      <c r="N53" s="35">
        <f>N52+'version 4 (LI) students only'!B19+'version 4 (LI) students only'!C18+'version 4 (LI) students only'!D17+'version 4 (LI) students only'!E16</f>
        <v>3.125E-2</v>
      </c>
      <c r="O53" s="35">
        <f>O52+B19+C18+D17+E16</f>
        <v>8.6363636363636365E-2</v>
      </c>
      <c r="P53" s="35">
        <f t="shared" si="45"/>
        <v>5.5113636363636365E-2</v>
      </c>
      <c r="X53" t="s">
        <v>27</v>
      </c>
      <c r="Y53" s="35">
        <f>Y52+'Version 3 (GI) students only'!B19+'Version 3 (GI) students only'!C18+'Version 3 (GI) students only'!D17+'Version 3 (GI) students only'!E16</f>
        <v>6.8493150684931503E-2</v>
      </c>
      <c r="Z53" s="35">
        <f t="shared" si="36"/>
        <v>8.6363636363636365E-2</v>
      </c>
      <c r="AA53" s="35">
        <f t="shared" si="46"/>
        <v>1.7870485678704862E-2</v>
      </c>
      <c r="AI53" t="s">
        <v>27</v>
      </c>
      <c r="AJ53" s="35">
        <f t="shared" si="29"/>
        <v>6.8493150684931503E-2</v>
      </c>
      <c r="AK53" s="35">
        <f t="shared" si="30"/>
        <v>3.125E-2</v>
      </c>
      <c r="AL53" s="35">
        <f t="shared" si="47"/>
        <v>3.7243150684931503E-2</v>
      </c>
      <c r="AT53" s="35">
        <v>3.1746031746031744E-2</v>
      </c>
      <c r="AU53" s="35"/>
      <c r="AV53" t="s">
        <v>27</v>
      </c>
      <c r="AW53" s="35">
        <f t="shared" si="31"/>
        <v>5.0119591215481624E-2</v>
      </c>
      <c r="AX53" s="35">
        <f t="shared" si="32"/>
        <v>5.8806818181818182E-2</v>
      </c>
      <c r="AY53">
        <f t="shared" si="48"/>
        <v>8.6872269663365587E-3</v>
      </c>
      <c r="BG53" t="s">
        <v>27</v>
      </c>
      <c r="BH53" s="35">
        <f t="shared" si="33"/>
        <v>5.9054834054834054E-2</v>
      </c>
      <c r="BI53" s="35">
        <f t="shared" si="34"/>
        <v>4.9871575342465752E-2</v>
      </c>
      <c r="BJ53">
        <f t="shared" si="49"/>
        <v>9.1832587123683029E-3</v>
      </c>
    </row>
    <row r="54" spans="1:62" x14ac:dyDescent="0.25">
      <c r="A54" t="s">
        <v>196</v>
      </c>
      <c r="B54">
        <f>B29</f>
        <v>220</v>
      </c>
      <c r="C54" s="11">
        <v>1</v>
      </c>
      <c r="D54">
        <v>64</v>
      </c>
      <c r="E54">
        <v>100</v>
      </c>
      <c r="G54" t="s">
        <v>197</v>
      </c>
      <c r="H54">
        <v>292</v>
      </c>
      <c r="I54" s="11">
        <v>1</v>
      </c>
      <c r="J54">
        <v>64</v>
      </c>
      <c r="K54" s="11">
        <v>1</v>
      </c>
      <c r="M54" t="s">
        <v>28</v>
      </c>
      <c r="N54" s="35">
        <f>N53+'version 4 (LI) students only'!B20+'version 4 (LI) students only'!C19+'version 4 (LI) students only'!D18+'version 4 (LI) students only'!E17+'version 4 (LI) students only'!F16</f>
        <v>7.9861111111111119E-2</v>
      </c>
      <c r="O54" s="35">
        <f>O53+B20+C19+D18+E17+F16</f>
        <v>0.19545454545454546</v>
      </c>
      <c r="P54" s="35">
        <f t="shared" si="45"/>
        <v>0.11559343434343435</v>
      </c>
      <c r="X54" t="s">
        <v>28</v>
      </c>
      <c r="Y54" s="35">
        <f>Y53+'Version 3 (GI) students only'!B20+'Version 3 (GI) students only'!C19+'Version 3 (GI) students only'!D18+'Version 3 (GI) students only'!E17+'Version 3 (GI) students only'!F16</f>
        <v>0.1678082191780822</v>
      </c>
      <c r="Z54" s="35">
        <f t="shared" si="36"/>
        <v>0.19545454545454546</v>
      </c>
      <c r="AA54" s="35">
        <f t="shared" si="46"/>
        <v>2.7646326276463268E-2</v>
      </c>
      <c r="AI54" t="s">
        <v>28</v>
      </c>
      <c r="AJ54" s="35">
        <f t="shared" si="29"/>
        <v>0.1678082191780822</v>
      </c>
      <c r="AK54" s="35">
        <f t="shared" si="30"/>
        <v>7.9861111111111119E-2</v>
      </c>
      <c r="AL54" s="35">
        <f t="shared" si="47"/>
        <v>8.7947108066971078E-2</v>
      </c>
      <c r="AT54" s="35">
        <v>0.10317460317460317</v>
      </c>
      <c r="AU54" s="35"/>
      <c r="AV54" t="s">
        <v>28</v>
      </c>
      <c r="AW54" s="35">
        <f t="shared" si="31"/>
        <v>0.13549141117634267</v>
      </c>
      <c r="AX54" s="35">
        <f t="shared" si="32"/>
        <v>0.1376578282828283</v>
      </c>
      <c r="AY54">
        <f t="shared" si="48"/>
        <v>2.1664171064856297E-3</v>
      </c>
      <c r="BG54" t="s">
        <v>28</v>
      </c>
      <c r="BH54" s="35">
        <f t="shared" si="33"/>
        <v>0.14931457431457432</v>
      </c>
      <c r="BI54" s="35">
        <f t="shared" si="34"/>
        <v>0.12383466514459665</v>
      </c>
      <c r="BJ54">
        <f t="shared" si="49"/>
        <v>2.5479909169977666E-2</v>
      </c>
    </row>
    <row r="55" spans="1:62" x14ac:dyDescent="0.25">
      <c r="A55" t="s">
        <v>142</v>
      </c>
      <c r="B55">
        <f>B46</f>
        <v>46</v>
      </c>
      <c r="C55" s="11">
        <f>B55/B$54</f>
        <v>0.20909090909090908</v>
      </c>
      <c r="D55">
        <f>D46</f>
        <v>9</v>
      </c>
      <c r="E55" s="9">
        <f>D55/D$54</f>
        <v>0.140625</v>
      </c>
      <c r="G55" t="s">
        <v>131</v>
      </c>
      <c r="H55">
        <f>H46</f>
        <v>30</v>
      </c>
      <c r="I55" s="32">
        <f>H55/H$54</f>
        <v>0.10273972602739725</v>
      </c>
      <c r="J55">
        <f>J46</f>
        <v>4</v>
      </c>
      <c r="K55" s="9">
        <f>J55/J$54</f>
        <v>6.25E-2</v>
      </c>
      <c r="M55" t="s">
        <v>29</v>
      </c>
      <c r="N55" s="35">
        <f>N54+'version 4 (LI) students only'!B21+'version 4 (LI) students only'!C20+'version 4 (LI) students only'!D19+'version 4 (LI) students only'!E18+'version 4 (LI) students only'!F17+'version 4 (LI) students only'!G16</f>
        <v>0.18055555555555552</v>
      </c>
      <c r="O55" s="35">
        <f>O54+B21+C20+D19+E18+F17+G16</f>
        <v>0.3454545454545454</v>
      </c>
      <c r="P55" s="35">
        <f t="shared" si="45"/>
        <v>0.16489898989898988</v>
      </c>
      <c r="X55" t="s">
        <v>29</v>
      </c>
      <c r="Y55" s="35">
        <f>Y54+'Version 3 (GI) students only'!B21+'Version 3 (GI) students only'!C20+'Version 3 (GI) students only'!D19+'Version 3 (GI) students only'!E18+'Version 3 (GI) students only'!F17+'Version 3 (GI) students only'!G16</f>
        <v>0.28767123287671237</v>
      </c>
      <c r="Z55" s="35">
        <f t="shared" si="36"/>
        <v>0.3454545454545454</v>
      </c>
      <c r="AA55" s="35">
        <f t="shared" si="46"/>
        <v>5.7783312577833035E-2</v>
      </c>
      <c r="AI55" t="s">
        <v>29</v>
      </c>
      <c r="AJ55" s="35">
        <f t="shared" si="29"/>
        <v>0.28767123287671237</v>
      </c>
      <c r="AK55" s="35">
        <f t="shared" si="30"/>
        <v>0.18055555555555552</v>
      </c>
      <c r="AL55" s="35">
        <f t="shared" si="47"/>
        <v>0.10711567732115684</v>
      </c>
      <c r="AT55" s="35">
        <v>0.20238095238095238</v>
      </c>
      <c r="AU55" s="35"/>
      <c r="AV55" t="s">
        <v>29</v>
      </c>
      <c r="AW55" s="35">
        <f t="shared" si="31"/>
        <v>0.24502609262883238</v>
      </c>
      <c r="AX55" s="35">
        <f t="shared" si="32"/>
        <v>0.26300505050505046</v>
      </c>
      <c r="AY55">
        <f t="shared" si="48"/>
        <v>1.7978957876218088E-2</v>
      </c>
      <c r="BG55" t="s">
        <v>29</v>
      </c>
      <c r="BH55" s="35">
        <f t="shared" si="33"/>
        <v>0.27391774891774889</v>
      </c>
      <c r="BI55" s="35">
        <f t="shared" si="34"/>
        <v>0.23411339421613395</v>
      </c>
      <c r="BJ55">
        <f t="shared" si="49"/>
        <v>3.9804354701614947E-2</v>
      </c>
    </row>
    <row r="56" spans="1:62" x14ac:dyDescent="0.25">
      <c r="A56" t="s">
        <v>78</v>
      </c>
      <c r="B56">
        <f t="shared" ref="B56:B61" si="50">B47</f>
        <v>73</v>
      </c>
      <c r="C56" s="11">
        <f t="shared" ref="C56:C61" si="51">B56/B$54</f>
        <v>0.33181818181818185</v>
      </c>
      <c r="D56">
        <f t="shared" ref="D56:D61" si="52">D47</f>
        <v>19</v>
      </c>
      <c r="E56" s="9">
        <f t="shared" ref="E56:E61" si="53">D56/D$54</f>
        <v>0.296875</v>
      </c>
      <c r="G56" t="s">
        <v>132</v>
      </c>
      <c r="H56">
        <f t="shared" ref="H56:H61" si="54">H47</f>
        <v>75</v>
      </c>
      <c r="I56" s="32">
        <f t="shared" ref="I56:I61" si="55">H56/H$54</f>
        <v>0.25684931506849318</v>
      </c>
      <c r="J56">
        <f t="shared" ref="J56:J61" si="56">J47</f>
        <v>16</v>
      </c>
      <c r="K56" s="9">
        <f t="shared" ref="K56:K61" si="57">J56/J$54</f>
        <v>0.25</v>
      </c>
      <c r="M56" t="s">
        <v>30</v>
      </c>
      <c r="N56" s="35">
        <f>N55+'version 4 (LI) students only'!B22+'version 4 (LI) students only'!C21+'version 4 (LI) students only'!D20+'version 4 (LI) students only'!E19+'version 4 (LI) students only'!F18+'version 4 (LI) students only'!G17+'version 4 (LI) students only'!H16</f>
        <v>0.44791666666666663</v>
      </c>
      <c r="O56" s="35">
        <f>O55+B22+C21+D20+E19+F18+G17+H16</f>
        <v>0.53181818181818175</v>
      </c>
      <c r="P56" s="35">
        <f t="shared" si="45"/>
        <v>8.3901515151515116E-2</v>
      </c>
      <c r="X56" t="s">
        <v>30</v>
      </c>
      <c r="Y56" s="35">
        <f>Y55+'Version 3 (GI) students only'!B22+'Version 3 (GI) students only'!C21+'Version 3 (GI) students only'!D20+'Version 3 (GI) students only'!E19+'Version 3 (GI) students only'!F18+'Version 3 (GI) students only'!G17+'Version 3 (GI) students only'!H16</f>
        <v>0.42465753424657549</v>
      </c>
      <c r="Z56" s="35">
        <f t="shared" si="36"/>
        <v>0.53181818181818175</v>
      </c>
      <c r="AA56" s="35">
        <f t="shared" si="46"/>
        <v>0.10716064757160626</v>
      </c>
      <c r="AI56" t="s">
        <v>30</v>
      </c>
      <c r="AJ56" s="35">
        <f t="shared" si="29"/>
        <v>0.42465753424657549</v>
      </c>
      <c r="AK56" s="35">
        <f t="shared" si="30"/>
        <v>0.44791666666666663</v>
      </c>
      <c r="AL56" s="35">
        <f t="shared" si="47"/>
        <v>2.3259132420091144E-2</v>
      </c>
      <c r="AT56" s="35">
        <v>0.45238095238095233</v>
      </c>
      <c r="AU56" s="35"/>
      <c r="AV56" t="s">
        <v>30</v>
      </c>
      <c r="AW56" s="35">
        <f t="shared" si="31"/>
        <v>0.43851924331376391</v>
      </c>
      <c r="AX56" s="35">
        <f t="shared" si="32"/>
        <v>0.48986742424242419</v>
      </c>
      <c r="AY56">
        <f t="shared" si="48"/>
        <v>5.1348180928660281E-2</v>
      </c>
      <c r="BG56" t="s">
        <v>30</v>
      </c>
      <c r="BH56" s="35">
        <f t="shared" si="33"/>
        <v>0.49209956709956704</v>
      </c>
      <c r="BI56" s="35">
        <f t="shared" si="34"/>
        <v>0.43628710045662106</v>
      </c>
      <c r="BJ56">
        <f t="shared" si="49"/>
        <v>5.5812466642945979E-2</v>
      </c>
    </row>
    <row r="57" spans="1:62" x14ac:dyDescent="0.25">
      <c r="A57" t="s">
        <v>79</v>
      </c>
      <c r="B57">
        <f t="shared" si="50"/>
        <v>76</v>
      </c>
      <c r="C57" s="11">
        <f t="shared" si="51"/>
        <v>0.34545454545454546</v>
      </c>
      <c r="D57">
        <f t="shared" si="52"/>
        <v>21</v>
      </c>
      <c r="E57" s="9">
        <f t="shared" si="53"/>
        <v>0.328125</v>
      </c>
      <c r="G57" t="s">
        <v>133</v>
      </c>
      <c r="H57">
        <f t="shared" si="54"/>
        <v>117</v>
      </c>
      <c r="I57" s="32">
        <f t="shared" si="55"/>
        <v>0.40068493150684931</v>
      </c>
      <c r="J57">
        <f t="shared" si="56"/>
        <v>28</v>
      </c>
      <c r="K57" s="9">
        <f t="shared" si="57"/>
        <v>0.4375</v>
      </c>
      <c r="M57" t="s">
        <v>31</v>
      </c>
      <c r="N57" s="35">
        <f>N56+'version 4 (LI) students only'!B23+'version 4 (LI) students only'!C22+'version 4 (LI) students only'!D21+'version 4 (LI) students only'!E20+'version 4 (LI) students only'!F19+'version 4 (LI) students only'!G18+'version 4 (LI) students only'!H17+'version 4 (LI) students only'!I16</f>
        <v>0.82291666666666674</v>
      </c>
      <c r="O57" s="35">
        <f>O56+B23+C22+D21+E20+F19+G18+H17+I16</f>
        <v>0.75909090909090904</v>
      </c>
      <c r="P57" s="35">
        <f t="shared" si="45"/>
        <v>6.3825757575757702E-2</v>
      </c>
      <c r="X57" t="s">
        <v>31</v>
      </c>
      <c r="Y57" s="35">
        <f>Y56+'Version 3 (GI) students only'!B23+'Version 3 (GI) students only'!C22+'Version 3 (GI) students only'!D21+'Version 3 (GI) students only'!E20+'Version 3 (GI) students only'!F19+'Version 3 (GI) students only'!G18+'Version 3 (GI) students only'!H17+'Version 3 (GI) students only'!I16</f>
        <v>0.79452054794520577</v>
      </c>
      <c r="Z57" s="35">
        <f t="shared" si="36"/>
        <v>0.75909090909090904</v>
      </c>
      <c r="AA57" s="35">
        <f t="shared" si="46"/>
        <v>3.542963885429673E-2</v>
      </c>
      <c r="AI57" t="s">
        <v>31</v>
      </c>
      <c r="AJ57" s="35">
        <f t="shared" si="29"/>
        <v>0.79452054794520577</v>
      </c>
      <c r="AK57" s="35">
        <f t="shared" si="30"/>
        <v>0.82291666666666674</v>
      </c>
      <c r="AL57" s="35">
        <f t="shared" si="47"/>
        <v>2.8396118721460972E-2</v>
      </c>
      <c r="AT57" s="35">
        <v>0.81746031746031744</v>
      </c>
      <c r="AU57" s="35"/>
      <c r="AV57" t="s">
        <v>31</v>
      </c>
      <c r="AW57" s="35">
        <f t="shared" si="31"/>
        <v>0.80599043270276161</v>
      </c>
      <c r="AX57" s="35">
        <f t="shared" si="32"/>
        <v>0.79100378787878789</v>
      </c>
      <c r="AY57">
        <f t="shared" si="48"/>
        <v>1.4986644823973716E-2</v>
      </c>
      <c r="BG57" t="s">
        <v>31</v>
      </c>
      <c r="BH57" s="35">
        <f t="shared" si="33"/>
        <v>0.78827561327561324</v>
      </c>
      <c r="BI57" s="35">
        <f t="shared" si="34"/>
        <v>0.80871860730593625</v>
      </c>
      <c r="BJ57">
        <f t="shared" si="49"/>
        <v>2.0442994030323014E-2</v>
      </c>
    </row>
    <row r="58" spans="1:62" x14ac:dyDescent="0.25">
      <c r="A58" t="s">
        <v>201</v>
      </c>
      <c r="B58">
        <f t="shared" si="50"/>
        <v>0</v>
      </c>
      <c r="C58" s="11">
        <f t="shared" si="51"/>
        <v>0</v>
      </c>
      <c r="D58">
        <f t="shared" si="52"/>
        <v>3</v>
      </c>
      <c r="E58" s="9">
        <f t="shared" si="53"/>
        <v>4.6875E-2</v>
      </c>
      <c r="G58" t="s">
        <v>199</v>
      </c>
      <c r="H58">
        <f t="shared" si="54"/>
        <v>0</v>
      </c>
      <c r="I58" s="32">
        <f t="shared" si="55"/>
        <v>0</v>
      </c>
      <c r="J58">
        <f t="shared" si="56"/>
        <v>1</v>
      </c>
      <c r="K58" s="9">
        <f t="shared" si="57"/>
        <v>1.5625E-2</v>
      </c>
      <c r="M58" t="s">
        <v>32</v>
      </c>
      <c r="N58" s="35">
        <f>N57+'version 4 (LI) students only'!C23+'version 4 (LI) students only'!D22+'version 4 (LI) students only'!E21+'version 4 (LI) students only'!F20+'version 4 (LI) students only'!G19+'version 4 (LI) students only'!H18+'version 4 (LI) students only'!I17</f>
        <v>0.94791666666666674</v>
      </c>
      <c r="O58" s="35">
        <f>O57+C23+D22+E21+F20+G19+H18+I17</f>
        <v>0.86363636363636354</v>
      </c>
      <c r="P58" s="35">
        <f t="shared" si="45"/>
        <v>8.4280303030303205E-2</v>
      </c>
      <c r="X58" t="s">
        <v>32</v>
      </c>
      <c r="Y58" s="35">
        <f>Y57+'Version 3 (GI) students only'!C23+'Version 3 (GI) students only'!D22+'Version 3 (GI) students only'!E21+'Version 3 (GI) students only'!F20+'Version 3 (GI) students only'!G19+'Version 3 (GI) students only'!H18+'Version 3 (GI) students only'!I17</f>
        <v>0.91780821917808253</v>
      </c>
      <c r="Z58" s="35">
        <f t="shared" si="36"/>
        <v>0.86363636363636354</v>
      </c>
      <c r="AA58" s="35">
        <f t="shared" si="46"/>
        <v>5.4171855541718994E-2</v>
      </c>
      <c r="AI58" t="s">
        <v>32</v>
      </c>
      <c r="AJ58" s="35">
        <f t="shared" si="29"/>
        <v>0.91780821917808253</v>
      </c>
      <c r="AK58" s="35">
        <f t="shared" si="30"/>
        <v>0.94791666666666674</v>
      </c>
      <c r="AL58" s="35">
        <f t="shared" si="47"/>
        <v>3.0108447488584211E-2</v>
      </c>
      <c r="AT58" s="35">
        <v>0.91666666666666663</v>
      </c>
      <c r="AU58" s="35"/>
      <c r="AV58" t="s">
        <v>32</v>
      </c>
      <c r="AW58" s="35">
        <f t="shared" si="31"/>
        <v>0.91723744292237464</v>
      </c>
      <c r="AX58" s="35">
        <f t="shared" si="32"/>
        <v>0.90577651515151514</v>
      </c>
      <c r="AY58">
        <f t="shared" si="48"/>
        <v>1.1460927770859497E-2</v>
      </c>
      <c r="BG58" t="s">
        <v>32</v>
      </c>
      <c r="BH58" s="35">
        <f t="shared" si="33"/>
        <v>0.89015151515151514</v>
      </c>
      <c r="BI58" s="35">
        <f t="shared" si="34"/>
        <v>0.93286244292237464</v>
      </c>
      <c r="BJ58">
        <f t="shared" si="49"/>
        <v>4.2710927770859497E-2</v>
      </c>
    </row>
    <row r="59" spans="1:62" x14ac:dyDescent="0.25">
      <c r="A59" t="s">
        <v>139</v>
      </c>
      <c r="B59">
        <f t="shared" si="50"/>
        <v>25</v>
      </c>
      <c r="C59" s="11">
        <f t="shared" si="51"/>
        <v>0.11363636363636363</v>
      </c>
      <c r="D59">
        <f t="shared" si="52"/>
        <v>9</v>
      </c>
      <c r="E59" s="9">
        <f t="shared" si="53"/>
        <v>0.140625</v>
      </c>
      <c r="G59" t="s">
        <v>0</v>
      </c>
      <c r="H59">
        <f t="shared" si="54"/>
        <v>15</v>
      </c>
      <c r="I59" s="32">
        <f t="shared" si="55"/>
        <v>5.1369863013698627E-2</v>
      </c>
      <c r="J59">
        <f t="shared" si="56"/>
        <v>4</v>
      </c>
      <c r="K59" s="9">
        <f t="shared" si="57"/>
        <v>6.25E-2</v>
      </c>
      <c r="M59" t="s">
        <v>33</v>
      </c>
      <c r="N59" s="35">
        <f>N58+'version 4 (LI) students only'!D23+'version 4 (LI) students only'!E22+'version 4 (LI) students only'!F21+'version 4 (LI) students only'!G20+'version 4 (LI) students only'!H19+'version 4 (LI) students only'!I18</f>
        <v>0.97222222222222221</v>
      </c>
      <c r="O59" s="35">
        <f>O58+D23+E22+F21+G20+H19+I18</f>
        <v>0.92727272727272714</v>
      </c>
      <c r="P59" s="35">
        <f t="shared" si="45"/>
        <v>4.4949494949495072E-2</v>
      </c>
      <c r="X59" t="s">
        <v>33</v>
      </c>
      <c r="Y59" s="35">
        <f>Y58+'Version 3 (GI) students only'!D23+'Version 3 (GI) students only'!E22+'Version 3 (GI) students only'!F21+'Version 3 (GI) students only'!G20+'Version 3 (GI) students only'!H19+'Version 3 (GI) students only'!I18</f>
        <v>0.97945205479452113</v>
      </c>
      <c r="Z59" s="35">
        <f t="shared" si="36"/>
        <v>0.92727272727272714</v>
      </c>
      <c r="AA59" s="35">
        <f t="shared" si="46"/>
        <v>5.2179327521793994E-2</v>
      </c>
      <c r="AI59" t="s">
        <v>33</v>
      </c>
      <c r="AJ59" s="35">
        <f t="shared" si="29"/>
        <v>0.97945205479452113</v>
      </c>
      <c r="AK59" s="35">
        <f t="shared" si="30"/>
        <v>0.97222222222222221</v>
      </c>
      <c r="AL59" s="35">
        <f t="shared" si="47"/>
        <v>7.2298325722989221E-3</v>
      </c>
      <c r="AT59" s="35">
        <v>0.95634920634920628</v>
      </c>
      <c r="AU59" s="35"/>
      <c r="AV59" t="s">
        <v>33</v>
      </c>
      <c r="AW59" s="35">
        <f t="shared" si="31"/>
        <v>0.96790063057186371</v>
      </c>
      <c r="AX59" s="35">
        <f t="shared" si="32"/>
        <v>0.94974747474747467</v>
      </c>
      <c r="AY59">
        <f t="shared" si="48"/>
        <v>1.8153155824389033E-2</v>
      </c>
      <c r="BG59" t="s">
        <v>33</v>
      </c>
      <c r="BH59" s="35">
        <f t="shared" si="33"/>
        <v>0.94181096681096665</v>
      </c>
      <c r="BI59" s="35">
        <f t="shared" si="34"/>
        <v>0.97583713850837173</v>
      </c>
      <c r="BJ59">
        <f t="shared" si="49"/>
        <v>3.4026171697405072E-2</v>
      </c>
    </row>
    <row r="60" spans="1:62" x14ac:dyDescent="0.25">
      <c r="A60" t="s">
        <v>140</v>
      </c>
      <c r="B60">
        <f t="shared" si="50"/>
        <v>30</v>
      </c>
      <c r="C60" s="11">
        <f t="shared" si="51"/>
        <v>0.13636363636363635</v>
      </c>
      <c r="D60">
        <f t="shared" si="52"/>
        <v>19</v>
      </c>
      <c r="E60" s="9">
        <f t="shared" si="53"/>
        <v>0.296875</v>
      </c>
      <c r="G60" t="s">
        <v>143</v>
      </c>
      <c r="H60">
        <f t="shared" si="54"/>
        <v>35</v>
      </c>
      <c r="I60" s="32">
        <f t="shared" si="55"/>
        <v>0.11986301369863013</v>
      </c>
      <c r="J60">
        <f t="shared" si="56"/>
        <v>16</v>
      </c>
      <c r="K60" s="9">
        <f t="shared" si="57"/>
        <v>0.25</v>
      </c>
      <c r="M60" t="s">
        <v>34</v>
      </c>
      <c r="N60" s="35">
        <f>N59+'version 4 (LI) students only'!E23+'version 4 (LI) students only'!F22+'version 4 (LI) students only'!G21+'version 4 (LI) students only'!H20+'version 4 (LI) students only'!I19</f>
        <v>0.98958333333333326</v>
      </c>
      <c r="O60" s="35">
        <f>O59+E23+F22+G21+H20+I19</f>
        <v>0.97727272727272707</v>
      </c>
      <c r="P60" s="35">
        <f t="shared" si="45"/>
        <v>1.2310606060606188E-2</v>
      </c>
      <c r="X60" t="s">
        <v>34</v>
      </c>
      <c r="Y60" s="35">
        <f>Y59+'Version 3 (GI) students only'!E23+'Version 3 (GI) students only'!F22+'Version 3 (GI) students only'!G21+'Version 3 (GI) students only'!H20+'Version 3 (GI) students only'!I19</f>
        <v>0.99315068493150749</v>
      </c>
      <c r="Z60" s="35">
        <f t="shared" si="36"/>
        <v>0.97727272727272707</v>
      </c>
      <c r="AA60" s="35">
        <f t="shared" si="46"/>
        <v>1.5877957658780417E-2</v>
      </c>
      <c r="AI60" t="s">
        <v>34</v>
      </c>
      <c r="AJ60" s="35">
        <f t="shared" si="29"/>
        <v>0.99315068493150749</v>
      </c>
      <c r="AK60" s="35">
        <f t="shared" si="30"/>
        <v>0.98958333333333326</v>
      </c>
      <c r="AL60" s="35">
        <f t="shared" si="47"/>
        <v>3.5673515981742288E-3</v>
      </c>
      <c r="AT60" s="35">
        <v>0.98809523809523792</v>
      </c>
      <c r="AU60" s="35"/>
      <c r="AV60" t="s">
        <v>34</v>
      </c>
      <c r="AW60" s="35">
        <f t="shared" si="31"/>
        <v>0.9906229615133727</v>
      </c>
      <c r="AX60" s="35">
        <f t="shared" si="32"/>
        <v>0.98342803030303017</v>
      </c>
      <c r="AY60">
        <f t="shared" si="48"/>
        <v>7.1949312103425367E-3</v>
      </c>
      <c r="BG60" t="s">
        <v>34</v>
      </c>
      <c r="BH60" s="35">
        <f t="shared" si="33"/>
        <v>0.98268398268398249</v>
      </c>
      <c r="BI60" s="35">
        <f t="shared" si="34"/>
        <v>0.99136700913242037</v>
      </c>
      <c r="BJ60">
        <f t="shared" si="49"/>
        <v>8.6830264484378805E-3</v>
      </c>
    </row>
    <row r="61" spans="1:62" x14ac:dyDescent="0.25">
      <c r="A61" t="s">
        <v>141</v>
      </c>
      <c r="B61">
        <f t="shared" si="50"/>
        <v>30</v>
      </c>
      <c r="C61" s="11">
        <f t="shared" si="51"/>
        <v>0.13636363636363635</v>
      </c>
      <c r="D61">
        <f t="shared" si="52"/>
        <v>21</v>
      </c>
      <c r="E61" s="9">
        <f t="shared" si="53"/>
        <v>0.328125</v>
      </c>
      <c r="G61" t="s">
        <v>144</v>
      </c>
      <c r="H61">
        <f t="shared" si="54"/>
        <v>53</v>
      </c>
      <c r="I61" s="32">
        <f t="shared" si="55"/>
        <v>0.1815068493150685</v>
      </c>
      <c r="J61">
        <f t="shared" si="56"/>
        <v>28</v>
      </c>
      <c r="K61" s="9">
        <f t="shared" si="57"/>
        <v>0.4375</v>
      </c>
      <c r="M61" t="s">
        <v>35</v>
      </c>
      <c r="N61" s="35">
        <f>N60+'version 4 (LI) students only'!F23+'version 4 (LI) students only'!G22+'version 4 (LI) students only'!H21+'version 4 (LI) students only'!I20</f>
        <v>0.99305555555555547</v>
      </c>
      <c r="O61" s="35">
        <f>O60+F23+G22+H21+I20</f>
        <v>0.99999999999999967</v>
      </c>
      <c r="P61" s="35">
        <f t="shared" si="45"/>
        <v>6.9444444444441977E-3</v>
      </c>
      <c r="X61" t="s">
        <v>35</v>
      </c>
      <c r="Y61" s="35">
        <f>Y60+'Version 3 (GI) students only'!F23+'Version 3 (GI) students only'!G22+'Version 3 (GI) students only'!H21+'Version 3 (GI) students only'!I20</f>
        <v>1.0000000000000007</v>
      </c>
      <c r="Z61" s="35">
        <f t="shared" si="36"/>
        <v>0.99999999999999967</v>
      </c>
      <c r="AA61" s="35">
        <f t="shared" si="46"/>
        <v>9.9920072216264089E-16</v>
      </c>
      <c r="AI61" t="s">
        <v>35</v>
      </c>
      <c r="AJ61" s="35">
        <f t="shared" si="29"/>
        <v>1.0000000000000007</v>
      </c>
      <c r="AK61" s="35">
        <f t="shared" si="30"/>
        <v>0.99305555555555547</v>
      </c>
      <c r="AL61" s="35">
        <f t="shared" si="47"/>
        <v>6.9444444444451969E-3</v>
      </c>
      <c r="AT61" s="35">
        <v>0.99603174603174582</v>
      </c>
      <c r="AU61" s="35"/>
      <c r="AV61" t="s">
        <v>35</v>
      </c>
      <c r="AW61" s="35">
        <f t="shared" si="31"/>
        <v>0.99801587301587324</v>
      </c>
      <c r="AX61" s="35">
        <f t="shared" si="32"/>
        <v>0.99652777777777757</v>
      </c>
      <c r="AY61">
        <f t="shared" si="48"/>
        <v>1.4880952380956769E-3</v>
      </c>
      <c r="BG61" t="s">
        <v>35</v>
      </c>
      <c r="BH61" s="35">
        <f t="shared" si="33"/>
        <v>0.9980158730158728</v>
      </c>
      <c r="BI61" s="35">
        <f t="shared" si="34"/>
        <v>0.99652777777777812</v>
      </c>
      <c r="BJ61">
        <f t="shared" si="49"/>
        <v>1.4880952380946777E-3</v>
      </c>
    </row>
    <row r="62" spans="1:62" x14ac:dyDescent="0.25">
      <c r="M62" t="s">
        <v>36</v>
      </c>
      <c r="N62" s="35">
        <f>N61+'version 4 (LI) students only'!G23+'version 4 (LI) students only'!H22+'version 4 (LI) students only'!I21</f>
        <v>0.99305555555555547</v>
      </c>
      <c r="O62" s="35">
        <f>O61+G23+H22+I21</f>
        <v>0.99999999999999967</v>
      </c>
      <c r="P62" s="35">
        <f t="shared" si="45"/>
        <v>6.9444444444441977E-3</v>
      </c>
      <c r="X62" t="s">
        <v>36</v>
      </c>
      <c r="Y62" s="35">
        <f>Y61+'Version 3 (GI) students only'!G23+'Version 3 (GI) students only'!H22+'Version 3 (GI) students only'!I21</f>
        <v>1.0000000000000007</v>
      </c>
      <c r="Z62" s="35">
        <f t="shared" si="36"/>
        <v>0.99999999999999967</v>
      </c>
      <c r="AA62" s="35">
        <f t="shared" si="46"/>
        <v>9.9920072216264089E-16</v>
      </c>
      <c r="AI62" t="s">
        <v>36</v>
      </c>
      <c r="AJ62" s="35">
        <f t="shared" si="29"/>
        <v>1.0000000000000007</v>
      </c>
      <c r="AK62" s="35">
        <f t="shared" si="30"/>
        <v>0.99305555555555547</v>
      </c>
      <c r="AL62" s="35">
        <f t="shared" si="47"/>
        <v>6.9444444444451969E-3</v>
      </c>
      <c r="AT62" s="35">
        <v>0.99999999999999978</v>
      </c>
      <c r="AU62" s="35"/>
      <c r="AV62" t="s">
        <v>36</v>
      </c>
      <c r="AW62" s="35">
        <f t="shared" si="31"/>
        <v>1.0000000000000002</v>
      </c>
      <c r="AX62" s="35">
        <f t="shared" si="32"/>
        <v>0.99652777777777757</v>
      </c>
      <c r="AY62">
        <f t="shared" si="48"/>
        <v>3.472222222222654E-3</v>
      </c>
      <c r="BG62" t="s">
        <v>36</v>
      </c>
      <c r="BH62" s="35">
        <f t="shared" si="33"/>
        <v>0.99999999999999978</v>
      </c>
      <c r="BI62" s="35">
        <f t="shared" si="34"/>
        <v>0.99652777777777812</v>
      </c>
      <c r="BJ62">
        <f t="shared" si="49"/>
        <v>3.4722222222216548E-3</v>
      </c>
    </row>
    <row r="63" spans="1:62" x14ac:dyDescent="0.25">
      <c r="G63" s="8"/>
      <c r="H63" s="7" t="s">
        <v>68</v>
      </c>
      <c r="I63" s="7" t="s">
        <v>69</v>
      </c>
      <c r="J63" s="7" t="s">
        <v>70</v>
      </c>
      <c r="K63" s="7" t="s">
        <v>69</v>
      </c>
      <c r="M63" t="s">
        <v>37</v>
      </c>
      <c r="N63" s="35">
        <f>N62+'version 4 (LI) students only'!H23+'version 4 (LI) students only'!I22</f>
        <v>0.99652777777777768</v>
      </c>
      <c r="O63" s="35">
        <f>O62+H23+I22</f>
        <v>0.99999999999999967</v>
      </c>
      <c r="P63" s="35">
        <f t="shared" si="45"/>
        <v>3.4722222222219878E-3</v>
      </c>
      <c r="X63" t="s">
        <v>37</v>
      </c>
      <c r="Y63" s="35">
        <f>Y62+'Version 3 (GI) students only'!H23+'Version 3 (GI) students only'!I22</f>
        <v>1.0000000000000007</v>
      </c>
      <c r="Z63" s="35">
        <f t="shared" si="36"/>
        <v>0.99999999999999967</v>
      </c>
      <c r="AA63" s="35">
        <f t="shared" si="46"/>
        <v>9.9920072216264089E-16</v>
      </c>
      <c r="AI63" t="s">
        <v>37</v>
      </c>
      <c r="AJ63" s="35">
        <f t="shared" si="29"/>
        <v>1.0000000000000007</v>
      </c>
      <c r="AK63" s="35">
        <f t="shared" si="30"/>
        <v>0.99652777777777768</v>
      </c>
      <c r="AL63" s="35">
        <f t="shared" si="47"/>
        <v>3.472222222222987E-3</v>
      </c>
      <c r="AT63" s="35">
        <v>0.99999999999999978</v>
      </c>
      <c r="AU63" s="35"/>
      <c r="AV63" t="s">
        <v>37</v>
      </c>
      <c r="AW63" s="35">
        <f t="shared" si="31"/>
        <v>1.0000000000000002</v>
      </c>
      <c r="AX63" s="35">
        <f t="shared" si="32"/>
        <v>0.99826388888888862</v>
      </c>
      <c r="AY63">
        <f t="shared" si="48"/>
        <v>1.7361111111116045E-3</v>
      </c>
      <c r="BG63" t="s">
        <v>37</v>
      </c>
      <c r="BH63" s="35">
        <f t="shared" si="33"/>
        <v>0.99999999999999978</v>
      </c>
      <c r="BI63" s="35">
        <f t="shared" si="34"/>
        <v>0.99826388888888917</v>
      </c>
      <c r="BJ63">
        <f t="shared" si="49"/>
        <v>1.7361111111106053E-3</v>
      </c>
    </row>
    <row r="64" spans="1:62" x14ac:dyDescent="0.25">
      <c r="G64" t="s">
        <v>197</v>
      </c>
      <c r="H64" s="36">
        <v>292</v>
      </c>
      <c r="I64" s="9">
        <v>1</v>
      </c>
      <c r="J64">
        <v>64</v>
      </c>
      <c r="K64" s="9">
        <v>1</v>
      </c>
      <c r="M64" t="s">
        <v>38</v>
      </c>
      <c r="N64" s="35">
        <f>N63+'version 4 (LI) students only'!I23</f>
        <v>0.99999999999999989</v>
      </c>
      <c r="O64" s="35">
        <f>O63+I23</f>
        <v>0.99999999999999967</v>
      </c>
      <c r="P64" s="35">
        <f t="shared" si="45"/>
        <v>2.2204460492503131E-16</v>
      </c>
      <c r="X64" t="s">
        <v>38</v>
      </c>
      <c r="Y64" s="35">
        <f>Y63+'Version 3 (GI) students only'!I23</f>
        <v>1.0000000000000007</v>
      </c>
      <c r="Z64" s="35">
        <f t="shared" si="36"/>
        <v>0.99999999999999967</v>
      </c>
      <c r="AA64" s="35">
        <f t="shared" si="46"/>
        <v>9.9920072216264089E-16</v>
      </c>
      <c r="AI64" t="s">
        <v>38</v>
      </c>
      <c r="AJ64" s="35">
        <f t="shared" si="29"/>
        <v>1.0000000000000007</v>
      </c>
      <c r="AK64" s="35">
        <f t="shared" si="30"/>
        <v>0.99999999999999989</v>
      </c>
      <c r="AL64" s="35">
        <f t="shared" si="47"/>
        <v>7.7715611723760958E-16</v>
      </c>
      <c r="AT64" s="35">
        <v>0.99999999999999978</v>
      </c>
      <c r="AU64" s="35"/>
      <c r="AV64" t="s">
        <v>38</v>
      </c>
      <c r="AW64" s="35">
        <f t="shared" si="31"/>
        <v>1.0000000000000002</v>
      </c>
      <c r="AX64" s="35">
        <f t="shared" si="32"/>
        <v>0.99999999999999978</v>
      </c>
      <c r="AY64">
        <f t="shared" si="48"/>
        <v>4.4408920985006262E-16</v>
      </c>
      <c r="BG64" t="s">
        <v>38</v>
      </c>
      <c r="BH64" s="35">
        <f t="shared" si="33"/>
        <v>0.99999999999999978</v>
      </c>
      <c r="BI64" s="35">
        <f t="shared" si="34"/>
        <v>1.0000000000000002</v>
      </c>
      <c r="BJ64">
        <f t="shared" si="49"/>
        <v>4.4408920985006262E-16</v>
      </c>
    </row>
    <row r="65" spans="7:62" x14ac:dyDescent="0.25">
      <c r="H65" s="36"/>
      <c r="I65" s="11"/>
      <c r="K65" s="9"/>
      <c r="M65" t="s">
        <v>15</v>
      </c>
      <c r="N65" s="35"/>
      <c r="O65" s="35"/>
      <c r="P65" s="35">
        <f>MAX(P50:P64)</f>
        <v>0.16489898989898988</v>
      </c>
      <c r="X65" t="s">
        <v>15</v>
      </c>
      <c r="Y65" s="35"/>
      <c r="Z65" s="35"/>
      <c r="AA65" s="35">
        <f>MAX(AA50:AA64)</f>
        <v>0.10716064757160626</v>
      </c>
      <c r="AI65" t="s">
        <v>15</v>
      </c>
      <c r="AJ65" s="35"/>
      <c r="AK65" s="35"/>
      <c r="AL65" s="35">
        <f>MAX(AL50:AL64)</f>
        <v>0.10711567732115684</v>
      </c>
      <c r="AT65" s="35"/>
      <c r="AU65" s="35"/>
      <c r="AV65" t="s">
        <v>15</v>
      </c>
      <c r="AW65" s="35"/>
      <c r="AX65" s="35"/>
      <c r="AY65">
        <f>MAX(AY50:AY64)</f>
        <v>5.1348180928660281E-2</v>
      </c>
      <c r="BG65" t="s">
        <v>15</v>
      </c>
      <c r="BH65" s="35"/>
      <c r="BI65" s="35"/>
      <c r="BJ65">
        <f>MAX(BJ50:BJ64)</f>
        <v>5.5812466642945979E-2</v>
      </c>
    </row>
    <row r="66" spans="7:62" x14ac:dyDescent="0.25">
      <c r="H66" s="36"/>
      <c r="I66" s="11"/>
      <c r="K66" s="9"/>
      <c r="M66" t="s">
        <v>163</v>
      </c>
      <c r="Z66" s="35"/>
      <c r="AJ66" s="35"/>
      <c r="AK66" s="35"/>
      <c r="AW66" s="35"/>
      <c r="AX66" s="35"/>
      <c r="BH66" s="35"/>
      <c r="BI66" s="35"/>
    </row>
    <row r="67" spans="7:62" x14ac:dyDescent="0.25">
      <c r="G67" t="s">
        <v>251</v>
      </c>
      <c r="H67" s="36">
        <f>H32-E6</f>
        <v>62</v>
      </c>
      <c r="I67" s="11">
        <f>H67/H64</f>
        <v>0.21232876712328766</v>
      </c>
      <c r="J67">
        <v>15</v>
      </c>
      <c r="K67" s="9">
        <f>J67/J64</f>
        <v>0.234375</v>
      </c>
      <c r="M67" t="s">
        <v>40</v>
      </c>
      <c r="N67" s="35">
        <f>'version 4 (LI) students only'!I16</f>
        <v>1.7361111111111112E-2</v>
      </c>
      <c r="O67" s="35">
        <f>I16</f>
        <v>4.5454545454545452E-3</v>
      </c>
      <c r="P67" s="35">
        <f>ABS(N67-O67)</f>
        <v>1.2815656565656567E-2</v>
      </c>
      <c r="X67" t="s">
        <v>40</v>
      </c>
      <c r="Y67" s="35">
        <f>'Version 3 (GI) students only'!I16</f>
        <v>1.0273972602739725E-2</v>
      </c>
      <c r="Z67" s="35">
        <f t="shared" si="36"/>
        <v>4.5454545454545452E-3</v>
      </c>
      <c r="AA67" s="35">
        <f>ABS(Y67-Z67)</f>
        <v>5.7285180572851802E-3</v>
      </c>
      <c r="AI67" t="s">
        <v>40</v>
      </c>
      <c r="AJ67" s="35">
        <f t="shared" si="29"/>
        <v>1.0273972602739725E-2</v>
      </c>
      <c r="AK67" s="35">
        <f t="shared" si="30"/>
        <v>1.7361111111111112E-2</v>
      </c>
      <c r="AL67" s="35">
        <f>ABS(AJ67-AK67)</f>
        <v>7.0871385083713864E-3</v>
      </c>
      <c r="AT67" s="35">
        <v>0</v>
      </c>
      <c r="AU67" s="35"/>
      <c r="AV67" t="s">
        <v>40</v>
      </c>
      <c r="AW67" s="35">
        <f t="shared" si="31"/>
        <v>5.1369863013698627E-3</v>
      </c>
      <c r="AX67" s="35">
        <f t="shared" si="32"/>
        <v>1.0953282828282829E-2</v>
      </c>
      <c r="AY67">
        <f>ABS(AW67-AX67)</f>
        <v>5.8162965269129667E-3</v>
      </c>
      <c r="BG67" t="s">
        <v>40</v>
      </c>
      <c r="BH67" s="35">
        <f t="shared" si="33"/>
        <v>2.2727272727272726E-3</v>
      </c>
      <c r="BI67" s="35">
        <f t="shared" si="34"/>
        <v>1.3817541856925419E-2</v>
      </c>
      <c r="BJ67">
        <f>ABS(BH67-BI67)</f>
        <v>1.1544814584198145E-2</v>
      </c>
    </row>
    <row r="68" spans="7:62" x14ac:dyDescent="0.25">
      <c r="G68" t="s">
        <v>252</v>
      </c>
      <c r="H68" s="36">
        <f>H33-E6</f>
        <v>104</v>
      </c>
      <c r="I68" s="11">
        <f>H68/H64</f>
        <v>0.35616438356164382</v>
      </c>
      <c r="J68">
        <v>27</v>
      </c>
      <c r="K68" s="9">
        <f>J68/J64</f>
        <v>0.421875</v>
      </c>
      <c r="M68" t="s">
        <v>41</v>
      </c>
      <c r="N68" s="35">
        <f>N67+'version 4 (LI) students only'!H16+'version 4 (LI) students only'!I17</f>
        <v>2.4305555555555559E-2</v>
      </c>
      <c r="O68" s="35">
        <f>O67+I17+H16</f>
        <v>4.5454545454545452E-3</v>
      </c>
      <c r="P68" s="35">
        <f t="shared" ref="P68:P81" si="58">ABS(N68-O68)</f>
        <v>1.9760101010101012E-2</v>
      </c>
      <c r="X68" t="s">
        <v>41</v>
      </c>
      <c r="Y68" s="35">
        <f>Y67+'Version 3 (GI) students only'!H16+'Version 3 (GI) students only'!I17</f>
        <v>2.0547945205479451E-2</v>
      </c>
      <c r="Z68" s="35">
        <f t="shared" si="36"/>
        <v>4.5454545454545452E-3</v>
      </c>
      <c r="AA68" s="35">
        <f t="shared" ref="AA68:AA81" si="59">ABS(Y68-Z68)</f>
        <v>1.6002490660024904E-2</v>
      </c>
      <c r="AI68" t="s">
        <v>41</v>
      </c>
      <c r="AJ68" s="35">
        <f t="shared" si="29"/>
        <v>2.0547945205479451E-2</v>
      </c>
      <c r="AK68" s="35">
        <f t="shared" si="30"/>
        <v>2.4305555555555559E-2</v>
      </c>
      <c r="AL68" s="35">
        <f t="shared" ref="AL68:AL81" si="60">ABS(AJ68-AK68)</f>
        <v>3.7576103500761085E-3</v>
      </c>
      <c r="AT68" s="35">
        <v>0</v>
      </c>
      <c r="AU68" s="35"/>
      <c r="AV68" t="s">
        <v>41</v>
      </c>
      <c r="AW68" s="35">
        <f t="shared" si="31"/>
        <v>1.0273972602739725E-2</v>
      </c>
      <c r="AX68" s="35">
        <f t="shared" si="32"/>
        <v>1.4425505050505053E-2</v>
      </c>
      <c r="AY68">
        <f t="shared" ref="AY68:AY81" si="61">ABS(AW68-AX68)</f>
        <v>4.1515324477653277E-3</v>
      </c>
      <c r="BG68" t="s">
        <v>41</v>
      </c>
      <c r="BH68" s="35">
        <f t="shared" si="33"/>
        <v>2.2727272727272726E-3</v>
      </c>
      <c r="BI68" s="35">
        <f t="shared" si="34"/>
        <v>2.2426750380517505E-2</v>
      </c>
      <c r="BJ68">
        <f t="shared" ref="BJ68:BJ81" si="62">ABS(BH68-BI68)</f>
        <v>2.0154023107790232E-2</v>
      </c>
    </row>
    <row r="69" spans="7:62" x14ac:dyDescent="0.25">
      <c r="H69" s="36"/>
      <c r="I69" s="11"/>
      <c r="K69" s="9"/>
      <c r="M69" t="s">
        <v>42</v>
      </c>
      <c r="N69" s="35">
        <f>N68+'version 4 (LI) students only'!G16+'version 4 (LI) students only'!H17+'version 4 (LI) students only'!I18</f>
        <v>2.7777777777777783E-2</v>
      </c>
      <c r="O69" s="35">
        <f>O68+I18+H17+G16</f>
        <v>2.2727272727272728E-2</v>
      </c>
      <c r="P69" s="35">
        <f t="shared" si="58"/>
        <v>5.0505050505050553E-3</v>
      </c>
      <c r="X69" t="s">
        <v>42</v>
      </c>
      <c r="Y69" s="35">
        <f>Y68+'Version 3 (GI) students only'!G16+'Version 3 (GI) students only'!H17+'Version 3 (GI) students only'!I18</f>
        <v>3.7671232876712327E-2</v>
      </c>
      <c r="Z69" s="35">
        <f t="shared" si="36"/>
        <v>2.2727272727272728E-2</v>
      </c>
      <c r="AA69" s="35">
        <f t="shared" si="59"/>
        <v>1.4943960149439599E-2</v>
      </c>
      <c r="AI69" t="s">
        <v>42</v>
      </c>
      <c r="AJ69" s="35">
        <f t="shared" si="29"/>
        <v>3.7671232876712327E-2</v>
      </c>
      <c r="AK69" s="35">
        <f t="shared" si="30"/>
        <v>2.7777777777777783E-2</v>
      </c>
      <c r="AL69" s="35">
        <f t="shared" si="60"/>
        <v>9.8934550989345435E-3</v>
      </c>
      <c r="AT69" s="35">
        <v>1.5873015873015872E-2</v>
      </c>
      <c r="AU69" s="35"/>
      <c r="AV69" t="s">
        <v>42</v>
      </c>
      <c r="AW69" s="35">
        <f t="shared" si="31"/>
        <v>2.6772124374864099E-2</v>
      </c>
      <c r="AX69" s="35">
        <f t="shared" si="32"/>
        <v>2.5252525252525256E-2</v>
      </c>
      <c r="AY69">
        <f t="shared" si="61"/>
        <v>1.5195991223388439E-3</v>
      </c>
      <c r="BG69" t="s">
        <v>42</v>
      </c>
      <c r="BH69" s="35">
        <f t="shared" si="33"/>
        <v>1.93001443001443E-2</v>
      </c>
      <c r="BI69" s="35">
        <f t="shared" si="34"/>
        <v>3.2724505327245051E-2</v>
      </c>
      <c r="BJ69">
        <f t="shared" si="62"/>
        <v>1.3424361027100751E-2</v>
      </c>
    </row>
    <row r="70" spans="7:62" x14ac:dyDescent="0.25">
      <c r="H70" s="36"/>
      <c r="I70" s="11"/>
      <c r="K70" s="9"/>
      <c r="M70" t="s">
        <v>43</v>
      </c>
      <c r="N70" s="35">
        <f>N69+'version 4 (LI) students only'!F16+'version 4 (LI) students only'!G17+'version 4 (LI) students only'!H18+'version 4 (LI) students only'!I19</f>
        <v>3.4722222222222224E-2</v>
      </c>
      <c r="O70" s="35">
        <f>O69+I19+H18+G17+F16</f>
        <v>4.9999999999999996E-2</v>
      </c>
      <c r="P70" s="35">
        <f t="shared" si="58"/>
        <v>1.5277777777777772E-2</v>
      </c>
      <c r="X70" t="s">
        <v>43</v>
      </c>
      <c r="Y70" s="35">
        <f>Y69+'Version 3 (GI) students only'!F16+'Version 3 (GI) students only'!G17+'Version 3 (GI) students only'!H18+'Version 3 (GI) students only'!I19</f>
        <v>7.1917808219178078E-2</v>
      </c>
      <c r="Z70" s="35">
        <f t="shared" si="36"/>
        <v>4.9999999999999996E-2</v>
      </c>
      <c r="AA70" s="35">
        <f t="shared" si="59"/>
        <v>2.1917808219178082E-2</v>
      </c>
      <c r="AI70" t="s">
        <v>43</v>
      </c>
      <c r="AJ70" s="35">
        <f t="shared" si="29"/>
        <v>7.1917808219178078E-2</v>
      </c>
      <c r="AK70" s="35">
        <f t="shared" si="30"/>
        <v>3.4722222222222224E-2</v>
      </c>
      <c r="AL70" s="35">
        <f t="shared" si="60"/>
        <v>3.7195585996955854E-2</v>
      </c>
      <c r="AT70" s="35">
        <v>2.3809523809523808E-2</v>
      </c>
      <c r="AU70" s="35"/>
      <c r="AV70" t="s">
        <v>43</v>
      </c>
      <c r="AW70" s="35">
        <f t="shared" si="31"/>
        <v>4.7863666014350943E-2</v>
      </c>
      <c r="AX70" s="35">
        <f t="shared" si="32"/>
        <v>4.2361111111111113E-2</v>
      </c>
      <c r="AY70">
        <f t="shared" si="61"/>
        <v>5.5025549032398299E-3</v>
      </c>
      <c r="BG70" t="s">
        <v>43</v>
      </c>
      <c r="BH70" s="35">
        <f t="shared" si="33"/>
        <v>3.6904761904761899E-2</v>
      </c>
      <c r="BI70" s="35">
        <f t="shared" si="34"/>
        <v>5.3320015220700151E-2</v>
      </c>
      <c r="BJ70">
        <f t="shared" si="62"/>
        <v>1.6415253315938252E-2</v>
      </c>
    </row>
    <row r="71" spans="7:62" x14ac:dyDescent="0.25">
      <c r="H71" s="36"/>
      <c r="I71" s="11"/>
      <c r="K71" s="9"/>
      <c r="M71" t="s">
        <v>44</v>
      </c>
      <c r="N71" s="35">
        <f>N70+'version 4 (LI) students only'!E16+'version 4 (LI) students only'!F17+'version 4 (LI) students only'!G18+'version 4 (LI) students only'!H19+'version 4 (LI) students only'!I20</f>
        <v>7.6388888888888895E-2</v>
      </c>
      <c r="O71" s="35">
        <f>O70+I20+H19+G18+F17+E16</f>
        <v>0.14545454545454548</v>
      </c>
      <c r="P71" s="35">
        <f t="shared" si="58"/>
        <v>6.906565656565658E-2</v>
      </c>
      <c r="X71" t="s">
        <v>44</v>
      </c>
      <c r="Y71" s="35">
        <f>Y70+'Version 3 (GI) students only'!E16+'Version 3 (GI) students only'!F17+'Version 3 (GI) students only'!G18+'Version 3 (GI) students only'!H19+'Version 3 (GI) students only'!I20</f>
        <v>0.13698630136986301</v>
      </c>
      <c r="Z71" s="35">
        <f t="shared" si="36"/>
        <v>0.14545454545454548</v>
      </c>
      <c r="AA71" s="35">
        <f t="shared" si="59"/>
        <v>8.4682440846824691E-3</v>
      </c>
      <c r="AI71" t="s">
        <v>44</v>
      </c>
      <c r="AJ71" s="35">
        <f t="shared" si="29"/>
        <v>0.13698630136986301</v>
      </c>
      <c r="AK71" s="35">
        <f t="shared" si="30"/>
        <v>7.6388888888888895E-2</v>
      </c>
      <c r="AL71" s="35">
        <f t="shared" si="60"/>
        <v>6.0597412480974111E-2</v>
      </c>
      <c r="AT71" s="35">
        <v>8.7301587301587297E-2</v>
      </c>
      <c r="AU71" s="35"/>
      <c r="AV71" t="s">
        <v>44</v>
      </c>
      <c r="AW71" s="35">
        <f t="shared" si="31"/>
        <v>0.11214394433572515</v>
      </c>
      <c r="AX71" s="35">
        <f t="shared" si="32"/>
        <v>0.11092171717171719</v>
      </c>
      <c r="AY71">
        <f t="shared" si="61"/>
        <v>1.2222271640079663E-3</v>
      </c>
      <c r="BG71" t="s">
        <v>44</v>
      </c>
      <c r="BH71" s="35">
        <f t="shared" si="33"/>
        <v>0.11637806637806639</v>
      </c>
      <c r="BI71" s="35">
        <f t="shared" si="34"/>
        <v>0.10668759512937595</v>
      </c>
      <c r="BJ71">
        <f t="shared" si="62"/>
        <v>9.6904712486904354E-3</v>
      </c>
    </row>
    <row r="72" spans="7:62" x14ac:dyDescent="0.25">
      <c r="H72" s="36"/>
      <c r="I72" s="11"/>
      <c r="K72" s="9"/>
      <c r="M72" t="s">
        <v>45</v>
      </c>
      <c r="N72" s="35">
        <f>N71+'version 4 (LI) students only'!D16+'version 4 (LI) students only'!E17+'version 4 (LI) students only'!F18+'version 4 (LI) students only'!G19+'version 4 (LI) students only'!H20+'version 4 (LI) students only'!I21</f>
        <v>0.20486111111111116</v>
      </c>
      <c r="O72" s="35">
        <f>O71+I21+H20+G19+F18+E17+D16</f>
        <v>0.27727272727272728</v>
      </c>
      <c r="P72" s="35">
        <f t="shared" si="58"/>
        <v>7.2411616161616121E-2</v>
      </c>
      <c r="X72" t="s">
        <v>45</v>
      </c>
      <c r="Y72" s="35">
        <f>Y71+'Version 3 (GI) students only'!D16+'Version 3 (GI) students only'!E17+'Version 3 (GI) students only'!F18+'Version 3 (GI) students only'!G19+'Version 3 (GI) students only'!H20+'Version 3 (GI) students only'!I21</f>
        <v>0.19863013698630139</v>
      </c>
      <c r="Z72" s="35">
        <f t="shared" si="36"/>
        <v>0.27727272727272728</v>
      </c>
      <c r="AA72" s="35">
        <f t="shared" si="59"/>
        <v>7.8642590286425895E-2</v>
      </c>
      <c r="AI72" t="s">
        <v>45</v>
      </c>
      <c r="AJ72" s="35">
        <f t="shared" si="29"/>
        <v>0.19863013698630139</v>
      </c>
      <c r="AK72" s="35">
        <f t="shared" si="30"/>
        <v>0.20486111111111116</v>
      </c>
      <c r="AL72" s="35">
        <f t="shared" si="60"/>
        <v>6.2309741248097739E-3</v>
      </c>
      <c r="AT72" s="35">
        <v>0.15873015873015872</v>
      </c>
      <c r="AU72" s="35"/>
      <c r="AV72" t="s">
        <v>45</v>
      </c>
      <c r="AW72" s="35">
        <f t="shared" si="31"/>
        <v>0.17868014785823005</v>
      </c>
      <c r="AX72" s="35">
        <f t="shared" si="32"/>
        <v>0.24106691919191922</v>
      </c>
      <c r="AY72">
        <f t="shared" si="61"/>
        <v>6.2386771333689167E-2</v>
      </c>
      <c r="BG72" t="s">
        <v>45</v>
      </c>
      <c r="BH72" s="35">
        <f t="shared" si="33"/>
        <v>0.218001443001443</v>
      </c>
      <c r="BI72" s="35">
        <f t="shared" si="34"/>
        <v>0.20174562404870627</v>
      </c>
      <c r="BJ72">
        <f t="shared" si="62"/>
        <v>1.6255818952736728E-2</v>
      </c>
    </row>
    <row r="73" spans="7:62" x14ac:dyDescent="0.25">
      <c r="G73" t="s">
        <v>253</v>
      </c>
      <c r="H73" s="36">
        <f>H38-F7</f>
        <v>28</v>
      </c>
      <c r="I73" s="11">
        <f>H73/H64</f>
        <v>9.5890410958904104E-2</v>
      </c>
      <c r="J73">
        <v>15</v>
      </c>
      <c r="K73" s="9">
        <f>J73/J64</f>
        <v>0.234375</v>
      </c>
      <c r="M73" t="s">
        <v>46</v>
      </c>
      <c r="N73" s="35">
        <f>N72+'version 4 (LI) students only'!C16+'version 4 (LI) students only'!D17+'version 4 (LI) students only'!E18+'version 4 (LI) students only'!F19+'version 4 (LI) students only'!G20+'version 4 (LI) students only'!H21+'version 4 (LI) students only'!I22</f>
        <v>0.33333333333333337</v>
      </c>
      <c r="O73" s="35">
        <f>O72+I22+H21+G20+F19+E18+D17+C16</f>
        <v>0.44545454545454544</v>
      </c>
      <c r="P73" s="35">
        <f t="shared" si="58"/>
        <v>0.11212121212121207</v>
      </c>
      <c r="X73" t="s">
        <v>46</v>
      </c>
      <c r="Y73" s="35">
        <f>Y72+'Version 3 (GI) students only'!C16+'Version 3 (GI) students only'!D17+'Version 3 (GI) students only'!E18+'Version 3 (GI) students only'!F19+'Version 3 (GI) students only'!G20+'Version 3 (GI) students only'!H21+'Version 3 (GI) students only'!I22</f>
        <v>0.35958904109589046</v>
      </c>
      <c r="Z73" s="35">
        <f t="shared" si="36"/>
        <v>0.44545454545454544</v>
      </c>
      <c r="AA73" s="35">
        <f t="shared" si="59"/>
        <v>8.5865504358654976E-2</v>
      </c>
      <c r="AI73" t="s">
        <v>46</v>
      </c>
      <c r="AJ73" s="35">
        <f t="shared" si="29"/>
        <v>0.35958904109589046</v>
      </c>
      <c r="AK73" s="35">
        <f t="shared" si="30"/>
        <v>0.33333333333333337</v>
      </c>
      <c r="AL73" s="35">
        <f t="shared" si="60"/>
        <v>2.625570776255709E-2</v>
      </c>
      <c r="AT73" s="35">
        <v>0.33333333333333331</v>
      </c>
      <c r="AU73" s="35"/>
      <c r="AV73" t="s">
        <v>46</v>
      </c>
      <c r="AW73" s="35">
        <f t="shared" si="31"/>
        <v>0.34646118721461189</v>
      </c>
      <c r="AX73" s="35">
        <f t="shared" si="32"/>
        <v>0.3893939393939394</v>
      </c>
      <c r="AY73">
        <f t="shared" si="61"/>
        <v>4.2932752179327516E-2</v>
      </c>
      <c r="BG73" t="s">
        <v>46</v>
      </c>
      <c r="BH73" s="35">
        <f t="shared" si="33"/>
        <v>0.3893939393939394</v>
      </c>
      <c r="BI73" s="35">
        <f t="shared" si="34"/>
        <v>0.34646118721461194</v>
      </c>
      <c r="BJ73">
        <f t="shared" si="62"/>
        <v>4.293275217932746E-2</v>
      </c>
    </row>
    <row r="74" spans="7:62" x14ac:dyDescent="0.25">
      <c r="G74" t="s">
        <v>254</v>
      </c>
      <c r="H74" s="36">
        <f>H39-F7</f>
        <v>46</v>
      </c>
      <c r="I74" s="11">
        <f>H74/H64</f>
        <v>0.15753424657534246</v>
      </c>
      <c r="J74">
        <v>27</v>
      </c>
      <c r="K74" s="9">
        <f>J74/J64</f>
        <v>0.421875</v>
      </c>
      <c r="M74" t="s">
        <v>47</v>
      </c>
      <c r="N74" s="35">
        <f>N73+'version 4 (LI) students only'!B16+'version 4 (LI) students only'!C17+'version 4 (LI) students only'!D18+'version 4 (LI) students only'!E19+'version 4 (LI) students only'!F20+'version 4 (LI) students only'!G21+'version 4 (LI) students only'!H22+'version 4 (LI) students only'!I23</f>
        <v>0.53125</v>
      </c>
      <c r="O74" s="35">
        <f>O73+I23+H22+G21+F20+E19+D18+C17+B16</f>
        <v>0.65</v>
      </c>
      <c r="P74" s="35">
        <f t="shared" si="58"/>
        <v>0.11875000000000002</v>
      </c>
      <c r="X74" t="s">
        <v>47</v>
      </c>
      <c r="Y74" s="35">
        <f>Y73+'Version 3 (GI) students only'!B16+'Version 3 (GI) students only'!C17+'Version 3 (GI) students only'!D18+'Version 3 (GI) students only'!E19+'Version 3 (GI) students only'!F20+'Version 3 (GI) students only'!G21+'Version 3 (GI) students only'!H22+'Version 3 (GI) students only'!I23</f>
        <v>0.48630136986301375</v>
      </c>
      <c r="Z74" s="35">
        <f t="shared" si="36"/>
        <v>0.65</v>
      </c>
      <c r="AA74" s="35">
        <f t="shared" si="59"/>
        <v>0.16369863013698627</v>
      </c>
      <c r="AI74" t="s">
        <v>47</v>
      </c>
      <c r="AJ74" s="35">
        <f t="shared" si="29"/>
        <v>0.48630136986301375</v>
      </c>
      <c r="AK74" s="35">
        <f t="shared" si="30"/>
        <v>0.53125</v>
      </c>
      <c r="AL74" s="35">
        <f t="shared" si="60"/>
        <v>4.4948630136986245E-2</v>
      </c>
      <c r="AT74" s="35">
        <v>0.59523809523809523</v>
      </c>
      <c r="AU74" s="35"/>
      <c r="AV74" t="s">
        <v>47</v>
      </c>
      <c r="AW74" s="35">
        <f t="shared" si="31"/>
        <v>0.54076973255055449</v>
      </c>
      <c r="AX74" s="35">
        <f t="shared" si="32"/>
        <v>0.59062499999999996</v>
      </c>
      <c r="AY74">
        <f t="shared" si="61"/>
        <v>4.9855267449445462E-2</v>
      </c>
      <c r="BG74" t="s">
        <v>47</v>
      </c>
      <c r="BH74" s="35">
        <f t="shared" si="33"/>
        <v>0.62261904761904763</v>
      </c>
      <c r="BI74" s="35">
        <f t="shared" si="34"/>
        <v>0.50877568493150682</v>
      </c>
      <c r="BJ74">
        <f t="shared" si="62"/>
        <v>0.11384336268754081</v>
      </c>
    </row>
    <row r="75" spans="7:62" x14ac:dyDescent="0.25">
      <c r="M75" t="s">
        <v>48</v>
      </c>
      <c r="N75" s="35">
        <f>N74+'version 4 (LI) students only'!B17+'version 4 (LI) students only'!C18+'version 4 (LI) students only'!D19+'version 4 (LI) students only'!E20+'version 4 (LI) students only'!F21+'version 4 (LI) students only'!G22+'version 4 (LI) students only'!H23</f>
        <v>0.74652777777777779</v>
      </c>
      <c r="O75" s="35">
        <f>O74+H23+G22+F21+E20+D19+C18+B17</f>
        <v>0.80454545454545445</v>
      </c>
      <c r="P75" s="35">
        <f t="shared" si="58"/>
        <v>5.8017676767676662E-2</v>
      </c>
      <c r="X75" t="s">
        <v>48</v>
      </c>
      <c r="Y75" s="35">
        <f>Y74+'Version 3 (GI) students only'!B17+'Version 3 (GI) students only'!C18+'Version 3 (GI) students only'!D19+'Version 3 (GI) students only'!E20+'Version 3 (GI) students only'!F21+'Version 3 (GI) students only'!G22+'Version 3 (GI) students only'!H23</f>
        <v>0.72260273972602751</v>
      </c>
      <c r="Z75" s="35">
        <f t="shared" si="36"/>
        <v>0.80454545454545445</v>
      </c>
      <c r="AA75" s="35">
        <f t="shared" si="59"/>
        <v>8.1942714819426943E-2</v>
      </c>
      <c r="AI75" t="s">
        <v>48</v>
      </c>
      <c r="AJ75" s="35">
        <f t="shared" si="29"/>
        <v>0.72260273972602751</v>
      </c>
      <c r="AK75" s="35">
        <f t="shared" si="30"/>
        <v>0.74652777777777779</v>
      </c>
      <c r="AL75" s="35">
        <f t="shared" si="60"/>
        <v>2.392503805175028E-2</v>
      </c>
      <c r="AT75" s="35">
        <v>0.79761904761904767</v>
      </c>
      <c r="AU75" s="35"/>
      <c r="AV75" t="s">
        <v>48</v>
      </c>
      <c r="AW75" s="35">
        <f t="shared" si="31"/>
        <v>0.76011089367253759</v>
      </c>
      <c r="AX75" s="35">
        <f t="shared" si="32"/>
        <v>0.77553661616161618</v>
      </c>
      <c r="AY75">
        <f t="shared" si="61"/>
        <v>1.5425722489078586E-2</v>
      </c>
      <c r="BG75" t="s">
        <v>48</v>
      </c>
      <c r="BH75" s="35">
        <f t="shared" si="33"/>
        <v>0.80108225108225106</v>
      </c>
      <c r="BI75" s="35">
        <f t="shared" si="34"/>
        <v>0.73456525875190271</v>
      </c>
      <c r="BJ75">
        <f t="shared" si="62"/>
        <v>6.6516992330348357E-2</v>
      </c>
    </row>
    <row r="76" spans="7:62" x14ac:dyDescent="0.25">
      <c r="M76" t="s">
        <v>49</v>
      </c>
      <c r="N76" s="35">
        <f>N75+'version 4 (LI) students only'!B18+'version 4 (LI) students only'!C19+'version 4 (LI) students only'!D20+'version 4 (LI) students only'!E21+'version 4 (LI) students only'!F22+'version 4 (LI) students only'!G23</f>
        <v>0.84722222222222221</v>
      </c>
      <c r="O76" s="35">
        <f>O75+G23+F22+E21+D20+C19+B18</f>
        <v>0.8999999999999998</v>
      </c>
      <c r="P76" s="35">
        <f t="shared" si="58"/>
        <v>5.277777777777759E-2</v>
      </c>
      <c r="X76" t="s">
        <v>49</v>
      </c>
      <c r="Y76" s="35">
        <f>Y75+'Version 3 (GI) students only'!B18+'Version 3 (GI) students only'!C19+'Version 3 (GI) students only'!D20+'Version 3 (GI) students only'!E21+'Version 3 (GI) students only'!F22+'Version 3 (GI) students only'!G23</f>
        <v>0.84589041095890427</v>
      </c>
      <c r="Z76" s="35">
        <f t="shared" si="36"/>
        <v>0.8999999999999998</v>
      </c>
      <c r="AA76" s="35">
        <f t="shared" si="59"/>
        <v>5.4109589041095529E-2</v>
      </c>
      <c r="AI76" t="s">
        <v>49</v>
      </c>
      <c r="AJ76" s="35">
        <f t="shared" si="29"/>
        <v>0.84589041095890427</v>
      </c>
      <c r="AK76" s="35">
        <f t="shared" si="30"/>
        <v>0.84722222222222221</v>
      </c>
      <c r="AL76" s="35">
        <f t="shared" si="60"/>
        <v>1.3318112633179391E-3</v>
      </c>
      <c r="AT76" s="35">
        <v>0.88492063492063489</v>
      </c>
      <c r="AU76" s="35"/>
      <c r="AV76" t="s">
        <v>49</v>
      </c>
      <c r="AW76" s="35">
        <f t="shared" si="31"/>
        <v>0.86540552293976958</v>
      </c>
      <c r="AX76" s="35">
        <f t="shared" si="32"/>
        <v>0.87361111111111101</v>
      </c>
      <c r="AY76">
        <f t="shared" si="61"/>
        <v>8.2055881713414269E-3</v>
      </c>
      <c r="BG76" t="s">
        <v>49</v>
      </c>
      <c r="BH76" s="35">
        <f t="shared" si="33"/>
        <v>0.8924603174603174</v>
      </c>
      <c r="BI76" s="35">
        <f t="shared" si="34"/>
        <v>0.84655631659056318</v>
      </c>
      <c r="BJ76">
        <f t="shared" si="62"/>
        <v>4.5904000869754213E-2</v>
      </c>
    </row>
    <row r="77" spans="7:62" x14ac:dyDescent="0.25">
      <c r="M77" t="s">
        <v>50</v>
      </c>
      <c r="N77" s="35">
        <f>N76+'version 4 (LI) students only'!B19+'version 4 (LI) students only'!C20+'version 4 (LI) students only'!D21+'version 4 (LI) students only'!E22+'version 4 (LI) students only'!F23</f>
        <v>0.93402777777777779</v>
      </c>
      <c r="O77" s="35">
        <f>O76+F23+E22+D21+C20+B19</f>
        <v>0.9636363636363634</v>
      </c>
      <c r="P77" s="35">
        <f t="shared" si="58"/>
        <v>2.9608585858585612E-2</v>
      </c>
      <c r="X77" t="s">
        <v>50</v>
      </c>
      <c r="Y77" s="35">
        <f>Y76+'Version 3 (GI) students only'!B19+'Version 3 (GI) students only'!C20+'Version 3 (GI) students only'!D21+'Version 3 (GI) students only'!E22+'Version 3 (GI) students only'!F23</f>
        <v>0.92465753424657549</v>
      </c>
      <c r="Z77" s="35">
        <f t="shared" si="36"/>
        <v>0.9636363636363634</v>
      </c>
      <c r="AA77" s="35">
        <f t="shared" si="59"/>
        <v>3.8978829389787917E-2</v>
      </c>
      <c r="AI77" t="s">
        <v>50</v>
      </c>
      <c r="AJ77" s="35">
        <f t="shared" si="29"/>
        <v>0.92465753424657549</v>
      </c>
      <c r="AK77" s="35">
        <f t="shared" si="30"/>
        <v>0.93402777777777779</v>
      </c>
      <c r="AL77" s="35">
        <f t="shared" si="60"/>
        <v>9.3702435312023047E-3</v>
      </c>
      <c r="AT77" s="35">
        <v>0.94444444444444442</v>
      </c>
      <c r="AU77" s="35"/>
      <c r="AV77" t="s">
        <v>50</v>
      </c>
      <c r="AW77" s="35">
        <f t="shared" si="31"/>
        <v>0.93455098934550995</v>
      </c>
      <c r="AX77" s="35">
        <f t="shared" si="32"/>
        <v>0.94883207070707054</v>
      </c>
      <c r="AY77">
        <f t="shared" si="61"/>
        <v>1.4281081361560588E-2</v>
      </c>
      <c r="BG77" t="s">
        <v>50</v>
      </c>
      <c r="BH77" s="35">
        <f t="shared" si="33"/>
        <v>0.95404040404040391</v>
      </c>
      <c r="BI77" s="35">
        <f t="shared" si="34"/>
        <v>0.92934265601217669</v>
      </c>
      <c r="BJ77">
        <f t="shared" si="62"/>
        <v>2.4697748028227218E-2</v>
      </c>
    </row>
    <row r="78" spans="7:62" x14ac:dyDescent="0.25">
      <c r="M78" t="s">
        <v>51</v>
      </c>
      <c r="N78" s="35">
        <f>N77+'version 4 (LI) students only'!B20+'version 4 (LI) students only'!C21+'version 4 (LI) students only'!D22+'version 4 (LI) students only'!E23</f>
        <v>0.96527777777777779</v>
      </c>
      <c r="O78" s="35">
        <f>O77+E23+D22+C21+B20</f>
        <v>0.99090909090909063</v>
      </c>
      <c r="P78" s="35">
        <f t="shared" si="58"/>
        <v>2.5631313131312838E-2</v>
      </c>
      <c r="X78" t="s">
        <v>51</v>
      </c>
      <c r="Y78" s="35">
        <f>Y77+'Version 3 (GI) students only'!B20+'Version 3 (GI) students only'!C21+'Version 3 (GI) students only'!D22+'Version 3 (GI) students only'!E23</f>
        <v>0.95547945205479468</v>
      </c>
      <c r="Z78" s="35">
        <f t="shared" si="36"/>
        <v>0.99090909090909063</v>
      </c>
      <c r="AA78" s="35">
        <f t="shared" si="59"/>
        <v>3.5429638854295953E-2</v>
      </c>
      <c r="AI78" t="s">
        <v>51</v>
      </c>
      <c r="AJ78" s="35">
        <f t="shared" si="29"/>
        <v>0.95547945205479468</v>
      </c>
      <c r="AK78" s="35">
        <f t="shared" si="30"/>
        <v>0.96527777777777779</v>
      </c>
      <c r="AL78" s="35">
        <f t="shared" si="60"/>
        <v>9.7983257229831144E-3</v>
      </c>
      <c r="AT78" s="35">
        <v>0.96825396825396814</v>
      </c>
      <c r="AU78" s="35"/>
      <c r="AV78" t="s">
        <v>51</v>
      </c>
      <c r="AW78" s="35">
        <f t="shared" si="31"/>
        <v>0.96186671015438141</v>
      </c>
      <c r="AX78" s="35">
        <f t="shared" si="32"/>
        <v>0.97809343434343421</v>
      </c>
      <c r="AY78">
        <f t="shared" si="61"/>
        <v>1.6226724189052799E-2</v>
      </c>
      <c r="BG78" t="s">
        <v>51</v>
      </c>
      <c r="BH78" s="35">
        <f t="shared" si="33"/>
        <v>0.97958152958152933</v>
      </c>
      <c r="BI78" s="35">
        <f t="shared" si="34"/>
        <v>0.96037861491628629</v>
      </c>
      <c r="BJ78">
        <f t="shared" si="62"/>
        <v>1.9202914665243043E-2</v>
      </c>
    </row>
    <row r="79" spans="7:62" x14ac:dyDescent="0.25">
      <c r="M79" t="s">
        <v>52</v>
      </c>
      <c r="N79" s="35">
        <f>N78+'version 4 (LI) students only'!B21+'version 4 (LI) students only'!C22+'version 4 (LI) students only'!D23</f>
        <v>0.99652777777777779</v>
      </c>
      <c r="O79" s="35">
        <f>O78+D23+C22+B21</f>
        <v>0.99545454545454515</v>
      </c>
      <c r="P79" s="35">
        <f t="shared" si="58"/>
        <v>1.0732323232326424E-3</v>
      </c>
      <c r="X79" t="s">
        <v>52</v>
      </c>
      <c r="Y79" s="35">
        <f>Y78+'Version 3 (GI) students only'!B21+'Version 3 (GI) students only'!C22+'Version 3 (GI) students only'!D23</f>
        <v>0.98287671232876728</v>
      </c>
      <c r="Z79" s="35">
        <f t="shared" si="36"/>
        <v>0.99545454545454515</v>
      </c>
      <c r="AA79" s="35">
        <f t="shared" si="59"/>
        <v>1.2577833125777871E-2</v>
      </c>
      <c r="AI79" t="s">
        <v>52</v>
      </c>
      <c r="AJ79" s="35">
        <f t="shared" si="29"/>
        <v>0.98287671232876728</v>
      </c>
      <c r="AK79" s="35">
        <f t="shared" si="30"/>
        <v>0.99652777777777779</v>
      </c>
      <c r="AL79" s="35">
        <f t="shared" si="60"/>
        <v>1.3651065449010513E-2</v>
      </c>
      <c r="AT79" s="35">
        <v>0.99206349206349198</v>
      </c>
      <c r="AU79" s="35"/>
      <c r="AV79" t="s">
        <v>52</v>
      </c>
      <c r="AW79" s="35">
        <f t="shared" si="31"/>
        <v>0.98747010219612963</v>
      </c>
      <c r="AX79" s="35">
        <f t="shared" si="32"/>
        <v>0.99599116161616141</v>
      </c>
      <c r="AY79">
        <f t="shared" si="61"/>
        <v>8.5210594200317846E-3</v>
      </c>
      <c r="BG79" t="s">
        <v>52</v>
      </c>
      <c r="BH79" s="35">
        <f t="shared" si="33"/>
        <v>0.99375901875901862</v>
      </c>
      <c r="BI79" s="35">
        <f t="shared" si="34"/>
        <v>0.98970224505327253</v>
      </c>
      <c r="BJ79">
        <f t="shared" si="62"/>
        <v>4.0567737057460862E-3</v>
      </c>
    </row>
    <row r="80" spans="7:62" x14ac:dyDescent="0.25">
      <c r="M80" t="s">
        <v>53</v>
      </c>
      <c r="N80" s="35">
        <f>N79+'version 4 (LI) students only'!B22+'version 4 (LI) students only'!C23</f>
        <v>1</v>
      </c>
      <c r="O80" s="35">
        <f>O79+C23+B22</f>
        <v>0.99999999999999967</v>
      </c>
      <c r="P80" s="35">
        <f t="shared" si="58"/>
        <v>3.3306690738754696E-16</v>
      </c>
      <c r="X80" t="s">
        <v>53</v>
      </c>
      <c r="Y80" s="35">
        <f>Y79+'Version 3 (GI) students only'!B22+'Version 3 (GI) students only'!C23</f>
        <v>0.98630136986301387</v>
      </c>
      <c r="Z80" s="35">
        <f t="shared" si="36"/>
        <v>0.99999999999999967</v>
      </c>
      <c r="AA80" s="35">
        <f t="shared" si="59"/>
        <v>1.3698630136985801E-2</v>
      </c>
      <c r="AI80" t="s">
        <v>53</v>
      </c>
      <c r="AJ80" s="35">
        <f t="shared" si="29"/>
        <v>0.98630136986301387</v>
      </c>
      <c r="AK80" s="35">
        <f t="shared" si="30"/>
        <v>1</v>
      </c>
      <c r="AL80" s="35">
        <f t="shared" si="60"/>
        <v>1.3698630136986134E-2</v>
      </c>
      <c r="AT80" s="35">
        <v>0.99603174603174593</v>
      </c>
      <c r="AU80" s="35"/>
      <c r="AV80" t="s">
        <v>53</v>
      </c>
      <c r="AW80" s="35">
        <f t="shared" si="31"/>
        <v>0.99116655794737984</v>
      </c>
      <c r="AX80" s="35">
        <f t="shared" si="32"/>
        <v>0.99999999999999978</v>
      </c>
      <c r="AY80">
        <f t="shared" si="61"/>
        <v>8.8334420526199331E-3</v>
      </c>
      <c r="BG80" t="s">
        <v>53</v>
      </c>
      <c r="BH80" s="35">
        <f t="shared" si="33"/>
        <v>0.9980158730158728</v>
      </c>
      <c r="BI80" s="35">
        <f t="shared" si="34"/>
        <v>0.99315068493150693</v>
      </c>
      <c r="BJ80">
        <f t="shared" si="62"/>
        <v>4.8651880843658679E-3</v>
      </c>
    </row>
    <row r="81" spans="13:62" x14ac:dyDescent="0.25">
      <c r="M81" t="s">
        <v>54</v>
      </c>
      <c r="N81" s="35">
        <f>N80+'version 4 (LI) students only'!B23</f>
        <v>1</v>
      </c>
      <c r="O81" s="35">
        <f>O80+B23</f>
        <v>0.99999999999999967</v>
      </c>
      <c r="P81" s="35">
        <f t="shared" si="58"/>
        <v>3.3306690738754696E-16</v>
      </c>
      <c r="X81" t="s">
        <v>54</v>
      </c>
      <c r="Y81" s="35">
        <f>Y80+'Version 3 (GI) students only'!B23</f>
        <v>1.0000000000000002</v>
      </c>
      <c r="Z81" s="35">
        <f t="shared" si="36"/>
        <v>0.99999999999999967</v>
      </c>
      <c r="AA81" s="35">
        <f t="shared" si="59"/>
        <v>5.5511151231257827E-16</v>
      </c>
      <c r="AI81" t="s">
        <v>54</v>
      </c>
      <c r="AJ81" s="35">
        <f t="shared" si="29"/>
        <v>1.0000000000000002</v>
      </c>
      <c r="AK81" s="35">
        <f t="shared" si="30"/>
        <v>1</v>
      </c>
      <c r="AL81" s="35">
        <f t="shared" si="60"/>
        <v>2.2204460492503131E-16</v>
      </c>
      <c r="AT81" s="35">
        <v>0.99999999999999989</v>
      </c>
      <c r="AU81" s="35"/>
      <c r="AV81" t="s">
        <v>54</v>
      </c>
      <c r="AW81" s="35">
        <f t="shared" si="31"/>
        <v>1</v>
      </c>
      <c r="AX81" s="35">
        <f t="shared" si="32"/>
        <v>0.99999999999999978</v>
      </c>
      <c r="AY81">
        <f t="shared" si="61"/>
        <v>2.2204460492503131E-16</v>
      </c>
      <c r="BG81" t="s">
        <v>54</v>
      </c>
      <c r="BH81" s="35">
        <f t="shared" si="33"/>
        <v>0.99999999999999978</v>
      </c>
      <c r="BI81" s="35">
        <f t="shared" si="34"/>
        <v>1</v>
      </c>
      <c r="BJ81">
        <f t="shared" si="62"/>
        <v>2.2204460492503131E-16</v>
      </c>
    </row>
    <row r="82" spans="13:62" x14ac:dyDescent="0.25">
      <c r="M82" t="s">
        <v>15</v>
      </c>
      <c r="P82" s="35">
        <f>MAX(P67:P81)</f>
        <v>0.11875000000000002</v>
      </c>
      <c r="X82" t="s">
        <v>15</v>
      </c>
      <c r="Y82" s="35"/>
      <c r="Z82" s="35"/>
      <c r="AA82" s="35">
        <f>MAX(AA67:AA81)</f>
        <v>0.16369863013698627</v>
      </c>
      <c r="AI82" t="s">
        <v>15</v>
      </c>
      <c r="AJ82" s="35"/>
      <c r="AK82" s="35"/>
      <c r="AL82" s="35">
        <f>MAX(AL67:AL81)</f>
        <v>6.0597412480974111E-2</v>
      </c>
      <c r="AV82" t="s">
        <v>15</v>
      </c>
      <c r="AY82">
        <f>MAX(AY67:AY81)</f>
        <v>6.2386771333689167E-2</v>
      </c>
      <c r="BG82" t="s">
        <v>15</v>
      </c>
      <c r="BJ82">
        <f>MAX(BJ67:BJ81)</f>
        <v>0.11384336268754081</v>
      </c>
    </row>
    <row r="84" spans="13:62" x14ac:dyDescent="0.25">
      <c r="M84" s="34"/>
      <c r="S84" t="s">
        <v>153</v>
      </c>
    </row>
    <row r="85" spans="13:62" x14ac:dyDescent="0.25">
      <c r="S85" t="s">
        <v>145</v>
      </c>
      <c r="T85" t="s">
        <v>146</v>
      </c>
      <c r="U85" t="s">
        <v>150</v>
      </c>
    </row>
    <row r="86" spans="13:62" x14ac:dyDescent="0.25">
      <c r="N86" s="35"/>
      <c r="O86" s="35"/>
      <c r="P86" s="35"/>
      <c r="S86">
        <v>0.1</v>
      </c>
      <c r="T86">
        <v>1.22</v>
      </c>
      <c r="U86">
        <f>SQRT((S91+S92)/(S91*S92))</f>
        <v>0.17908296141930161</v>
      </c>
    </row>
    <row r="87" spans="13:62" x14ac:dyDescent="0.25">
      <c r="N87" s="35"/>
      <c r="O87" s="35"/>
      <c r="P87" s="35"/>
      <c r="S87">
        <v>0.05</v>
      </c>
      <c r="T87">
        <v>1.36</v>
      </c>
    </row>
    <row r="88" spans="13:62" x14ac:dyDescent="0.25">
      <c r="N88" s="35"/>
      <c r="O88" s="35"/>
      <c r="P88" s="35"/>
      <c r="S88">
        <v>0.01</v>
      </c>
      <c r="T88">
        <v>1.63</v>
      </c>
    </row>
    <row r="89" spans="13:62" x14ac:dyDescent="0.25">
      <c r="N89" s="35"/>
      <c r="O89" s="35"/>
      <c r="P89" s="35"/>
      <c r="R89" t="s">
        <v>216</v>
      </c>
    </row>
    <row r="90" spans="13:62" x14ac:dyDescent="0.25">
      <c r="N90" s="35"/>
      <c r="O90" s="35"/>
      <c r="P90" s="35"/>
      <c r="S90" t="s">
        <v>147</v>
      </c>
    </row>
    <row r="91" spans="13:62" x14ac:dyDescent="0.25">
      <c r="N91" s="35"/>
      <c r="O91" s="35"/>
      <c r="P91" s="35"/>
      <c r="R91" t="s">
        <v>148</v>
      </c>
      <c r="S91">
        <v>72</v>
      </c>
    </row>
    <row r="92" spans="13:62" x14ac:dyDescent="0.25">
      <c r="N92" s="35"/>
      <c r="O92" s="35"/>
      <c r="P92" s="35"/>
      <c r="R92" t="s">
        <v>149</v>
      </c>
      <c r="S92">
        <v>55</v>
      </c>
    </row>
    <row r="93" spans="13:62" x14ac:dyDescent="0.25">
      <c r="N93" s="35"/>
      <c r="O93" s="35"/>
      <c r="P93" s="35"/>
    </row>
    <row r="94" spans="13:62" x14ac:dyDescent="0.25">
      <c r="P94" s="35"/>
    </row>
    <row r="96" spans="13:62" x14ac:dyDescent="0.25">
      <c r="N96" s="35"/>
      <c r="O96" s="35"/>
      <c r="P96" s="35"/>
    </row>
    <row r="97" spans="14:16" x14ac:dyDescent="0.25">
      <c r="N97" s="35"/>
      <c r="O97" s="35"/>
      <c r="P97" s="35"/>
    </row>
    <row r="98" spans="14:16" x14ac:dyDescent="0.25">
      <c r="N98" s="35"/>
      <c r="O98" s="35"/>
      <c r="P98" s="35"/>
    </row>
    <row r="99" spans="14:16" x14ac:dyDescent="0.25">
      <c r="N99" s="35"/>
      <c r="O99" s="35"/>
      <c r="P99" s="35"/>
    </row>
    <row r="100" spans="14:16" x14ac:dyDescent="0.25">
      <c r="N100" s="35"/>
      <c r="O100" s="35"/>
      <c r="P100" s="35"/>
    </row>
    <row r="101" spans="14:16" x14ac:dyDescent="0.25">
      <c r="N101" s="35"/>
      <c r="O101" s="35"/>
      <c r="P101" s="35"/>
    </row>
    <row r="102" spans="14:16" x14ac:dyDescent="0.25">
      <c r="N102" s="35"/>
      <c r="O102" s="35"/>
      <c r="P102" s="35"/>
    </row>
    <row r="103" spans="14:16" x14ac:dyDescent="0.25">
      <c r="N103" s="35"/>
      <c r="O103" s="35"/>
      <c r="P103" s="35"/>
    </row>
    <row r="104" spans="14:16" x14ac:dyDescent="0.25">
      <c r="P104" s="35"/>
    </row>
    <row r="106" spans="14:16" x14ac:dyDescent="0.25">
      <c r="N106" s="35"/>
      <c r="O106" s="35"/>
      <c r="P106" s="35"/>
    </row>
    <row r="107" spans="14:16" x14ac:dyDescent="0.25">
      <c r="N107" s="35"/>
      <c r="O107" s="35"/>
      <c r="P107" s="35"/>
    </row>
    <row r="108" spans="14:16" x14ac:dyDescent="0.25">
      <c r="N108" s="35"/>
      <c r="O108" s="35"/>
      <c r="P108" s="35"/>
    </row>
    <row r="109" spans="14:16" x14ac:dyDescent="0.25">
      <c r="N109" s="35"/>
      <c r="O109" s="35"/>
      <c r="P109" s="35"/>
    </row>
    <row r="110" spans="14:16" x14ac:dyDescent="0.25">
      <c r="N110" s="35"/>
      <c r="O110" s="35"/>
      <c r="P110" s="35"/>
    </row>
    <row r="111" spans="14:16" x14ac:dyDescent="0.25">
      <c r="N111" s="35"/>
      <c r="O111" s="35"/>
      <c r="P111" s="35"/>
    </row>
    <row r="112" spans="14:16" x14ac:dyDescent="0.25">
      <c r="N112" s="35"/>
      <c r="O112" s="35"/>
      <c r="P112" s="35"/>
    </row>
    <row r="113" spans="14:16" x14ac:dyDescent="0.25">
      <c r="N113" s="35"/>
      <c r="O113" s="35"/>
      <c r="P113" s="35"/>
    </row>
    <row r="114" spans="14:16" x14ac:dyDescent="0.25">
      <c r="N114" s="35"/>
      <c r="O114" s="35"/>
      <c r="P114" s="35"/>
    </row>
    <row r="115" spans="14:16" x14ac:dyDescent="0.25">
      <c r="N115" s="35"/>
      <c r="O115" s="35"/>
      <c r="P115" s="35"/>
    </row>
    <row r="116" spans="14:16" x14ac:dyDescent="0.25">
      <c r="N116" s="35"/>
      <c r="O116" s="35"/>
      <c r="P116" s="35"/>
    </row>
    <row r="117" spans="14:16" x14ac:dyDescent="0.25">
      <c r="N117" s="35"/>
      <c r="O117" s="35"/>
      <c r="P117" s="35"/>
    </row>
    <row r="118" spans="14:16" x14ac:dyDescent="0.25">
      <c r="N118" s="35"/>
      <c r="O118" s="35"/>
      <c r="P118" s="35"/>
    </row>
    <row r="119" spans="14:16" x14ac:dyDescent="0.25">
      <c r="N119" s="35"/>
      <c r="O119" s="35"/>
      <c r="P119" s="35"/>
    </row>
    <row r="120" spans="14:16" x14ac:dyDescent="0.25">
      <c r="N120" s="35"/>
      <c r="O120" s="35"/>
      <c r="P120" s="35"/>
    </row>
    <row r="121" spans="14:16" x14ac:dyDescent="0.25">
      <c r="N121" s="35"/>
      <c r="O121" s="35"/>
      <c r="P121" s="35"/>
    </row>
    <row r="123" spans="14:16" x14ac:dyDescent="0.25">
      <c r="N123" s="35"/>
      <c r="O123" s="35"/>
      <c r="P123" s="35"/>
    </row>
    <row r="124" spans="14:16" x14ac:dyDescent="0.25">
      <c r="N124" s="35"/>
      <c r="O124" s="35"/>
      <c r="P124" s="35"/>
    </row>
    <row r="125" spans="14:16" x14ac:dyDescent="0.25">
      <c r="N125" s="35"/>
      <c r="O125" s="35"/>
      <c r="P125" s="35"/>
    </row>
    <row r="126" spans="14:16" x14ac:dyDescent="0.25">
      <c r="N126" s="35"/>
      <c r="O126" s="35"/>
      <c r="P126" s="35"/>
    </row>
    <row r="127" spans="14:16" x14ac:dyDescent="0.25">
      <c r="N127" s="35"/>
      <c r="O127" s="35"/>
      <c r="P127" s="35"/>
    </row>
    <row r="128" spans="14:16" x14ac:dyDescent="0.25">
      <c r="N128" s="35"/>
      <c r="O128" s="35"/>
      <c r="P128" s="35"/>
    </row>
    <row r="129" spans="14:16" x14ac:dyDescent="0.25">
      <c r="N129" s="35"/>
      <c r="O129" s="35"/>
      <c r="P129" s="35"/>
    </row>
    <row r="130" spans="14:16" x14ac:dyDescent="0.25">
      <c r="N130" s="35"/>
      <c r="O130" s="35"/>
      <c r="P130" s="35"/>
    </row>
    <row r="131" spans="14:16" x14ac:dyDescent="0.25">
      <c r="N131" s="35"/>
      <c r="O131" s="35"/>
      <c r="P131" s="35"/>
    </row>
    <row r="132" spans="14:16" x14ac:dyDescent="0.25">
      <c r="N132" s="35"/>
      <c r="O132" s="35"/>
      <c r="P132" s="35"/>
    </row>
    <row r="133" spans="14:16" x14ac:dyDescent="0.25">
      <c r="N133" s="35"/>
      <c r="O133" s="35"/>
      <c r="P133" s="35"/>
    </row>
    <row r="134" spans="14:16" x14ac:dyDescent="0.25">
      <c r="N134" s="35"/>
      <c r="O134" s="35"/>
      <c r="P134" s="35"/>
    </row>
    <row r="135" spans="14:16" x14ac:dyDescent="0.25">
      <c r="N135" s="35"/>
      <c r="O135" s="35"/>
      <c r="P135" s="35"/>
    </row>
    <row r="136" spans="14:16" x14ac:dyDescent="0.25">
      <c r="N136" s="35"/>
      <c r="O136" s="35"/>
      <c r="P136" s="35"/>
    </row>
    <row r="137" spans="14:16" x14ac:dyDescent="0.25">
      <c r="N137" s="35"/>
      <c r="O137" s="35"/>
      <c r="P137" s="35"/>
    </row>
    <row r="138" spans="14:16" x14ac:dyDescent="0.25">
      <c r="P138" s="3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10"/>
  <sheetViews>
    <sheetView topLeftCell="G71" workbookViewId="0">
      <selection activeCell="G71" sqref="G71"/>
    </sheetView>
  </sheetViews>
  <sheetFormatPr defaultRowHeight="15" x14ac:dyDescent="0.25"/>
  <cols>
    <col min="9" max="9" width="9.140625" style="10"/>
    <col min="19" max="19" width="14.140625" customWidth="1"/>
    <col min="21" max="21" width="19.7109375" customWidth="1"/>
    <col min="22" max="22" width="15.7109375" customWidth="1"/>
  </cols>
  <sheetData>
    <row r="1" spans="1:38" x14ac:dyDescent="0.25">
      <c r="A1" s="1" t="s">
        <v>177</v>
      </c>
      <c r="J1" s="4" t="s">
        <v>58</v>
      </c>
      <c r="K1" s="4" t="s">
        <v>90</v>
      </c>
      <c r="M1" s="80" t="s">
        <v>290</v>
      </c>
      <c r="U1" s="10"/>
      <c r="V1" s="46" t="s">
        <v>58</v>
      </c>
      <c r="W1" s="46" t="s">
        <v>90</v>
      </c>
    </row>
    <row r="2" spans="1:38" x14ac:dyDescent="0.25">
      <c r="A2" s="1" t="s">
        <v>61</v>
      </c>
      <c r="J2" s="4"/>
      <c r="K2" s="4"/>
      <c r="M2" t="s">
        <v>61</v>
      </c>
      <c r="U2" s="10"/>
      <c r="V2" s="46"/>
      <c r="W2" s="46"/>
    </row>
    <row r="3" spans="1:38" x14ac:dyDescent="0.25">
      <c r="A3" s="2" t="s">
        <v>55</v>
      </c>
      <c r="B3">
        <v>0</v>
      </c>
      <c r="C3">
        <v>1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 s="4">
        <f>SUM(B3:I3)</f>
        <v>2</v>
      </c>
      <c r="K3" s="12">
        <f>J3/J$11</f>
        <v>7.9365079365079361E-3</v>
      </c>
      <c r="M3" s="2" t="s">
        <v>55</v>
      </c>
      <c r="N3">
        <f>B3+'Version 3 (GI) students only'!B3</f>
        <v>1</v>
      </c>
      <c r="O3">
        <f>C3+'Version 3 (GI) students only'!C3</f>
        <v>4</v>
      </c>
      <c r="P3">
        <f>D3+'Version 3 (GI) students only'!D3</f>
        <v>2</v>
      </c>
      <c r="Q3">
        <f>E3+'Version 3 (GI) students only'!E3</f>
        <v>8</v>
      </c>
      <c r="R3">
        <f>F3+'Version 3 (GI) students only'!F3</f>
        <v>7</v>
      </c>
      <c r="S3">
        <f>G3+'Version 3 (GI) students only'!G3</f>
        <v>1</v>
      </c>
      <c r="T3">
        <f>H3+'Version 3 (GI) students only'!H3</f>
        <v>2</v>
      </c>
      <c r="U3">
        <f>I3+'Version 3 (GI) students only'!I3</f>
        <v>3</v>
      </c>
      <c r="V3" s="46">
        <f>SUM(N3:U3)</f>
        <v>28</v>
      </c>
      <c r="W3" s="76">
        <f>V3/V$11</f>
        <v>5.1470588235294115E-2</v>
      </c>
    </row>
    <row r="4" spans="1:38" x14ac:dyDescent="0.25">
      <c r="A4" s="3" t="s">
        <v>56</v>
      </c>
      <c r="B4">
        <v>0</v>
      </c>
      <c r="C4">
        <v>0</v>
      </c>
      <c r="D4">
        <v>4</v>
      </c>
      <c r="E4">
        <v>2</v>
      </c>
      <c r="F4">
        <v>0</v>
      </c>
      <c r="G4">
        <v>2</v>
      </c>
      <c r="H4">
        <v>3</v>
      </c>
      <c r="I4">
        <v>0</v>
      </c>
      <c r="J4" s="4">
        <f t="shared" ref="J4:J10" si="0">SUM(B4:I4)</f>
        <v>11</v>
      </c>
      <c r="K4" s="12">
        <f t="shared" ref="K4:K10" si="1">J4/J$11</f>
        <v>4.3650793650793648E-2</v>
      </c>
      <c r="M4" s="3" t="s">
        <v>56</v>
      </c>
      <c r="N4">
        <f>B4+'Version 3 (GI) students only'!B4</f>
        <v>0</v>
      </c>
      <c r="O4">
        <f>C4+'Version 3 (GI) students only'!C4</f>
        <v>2</v>
      </c>
      <c r="P4">
        <f>D4+'Version 3 (GI) students only'!D4</f>
        <v>9</v>
      </c>
      <c r="Q4">
        <f>E4+'Version 3 (GI) students only'!E4</f>
        <v>12</v>
      </c>
      <c r="R4">
        <f>F4+'Version 3 (GI) students only'!F4</f>
        <v>2</v>
      </c>
      <c r="S4">
        <f>G4+'Version 3 (GI) students only'!G4</f>
        <v>3</v>
      </c>
      <c r="T4">
        <f>H4+'Version 3 (GI) students only'!H4</f>
        <v>5</v>
      </c>
      <c r="U4">
        <f>I4+'Version 3 (GI) students only'!I4</f>
        <v>1</v>
      </c>
      <c r="V4" s="46">
        <f t="shared" ref="V4:V10" si="2">SUM(N4:U4)</f>
        <v>34</v>
      </c>
      <c r="W4" s="76">
        <f t="shared" ref="W4:W10" si="3">V4/V$11</f>
        <v>6.25E-2</v>
      </c>
    </row>
    <row r="5" spans="1:38" x14ac:dyDescent="0.25">
      <c r="A5" t="s">
        <v>57</v>
      </c>
      <c r="B5">
        <v>0</v>
      </c>
      <c r="C5">
        <v>2</v>
      </c>
      <c r="D5">
        <v>13</v>
      </c>
      <c r="E5">
        <v>15</v>
      </c>
      <c r="F5">
        <v>8</v>
      </c>
      <c r="G5">
        <v>15</v>
      </c>
      <c r="H5">
        <v>0</v>
      </c>
      <c r="I5">
        <v>1</v>
      </c>
      <c r="J5" s="4">
        <f t="shared" si="0"/>
        <v>54</v>
      </c>
      <c r="K5" s="12">
        <f t="shared" si="1"/>
        <v>0.21428571428571427</v>
      </c>
      <c r="M5" t="s">
        <v>57</v>
      </c>
      <c r="N5">
        <f>B5+'Version 3 (GI) students only'!B5</f>
        <v>0</v>
      </c>
      <c r="O5">
        <f>C5+'Version 3 (GI) students only'!C5</f>
        <v>2</v>
      </c>
      <c r="P5">
        <f>D5+'Version 3 (GI) students only'!D5</f>
        <v>21</v>
      </c>
      <c r="Q5">
        <f>E5+'Version 3 (GI) students only'!E5</f>
        <v>32</v>
      </c>
      <c r="R5">
        <f>F5+'Version 3 (GI) students only'!F5</f>
        <v>10</v>
      </c>
      <c r="S5">
        <f>G5+'Version 3 (GI) students only'!G5</f>
        <v>22</v>
      </c>
      <c r="T5">
        <f>H5+'Version 3 (GI) students only'!H5</f>
        <v>2</v>
      </c>
      <c r="U5">
        <f>I5+'Version 3 (GI) students only'!I5</f>
        <v>3</v>
      </c>
      <c r="V5" s="46">
        <f t="shared" si="2"/>
        <v>92</v>
      </c>
      <c r="W5" s="76">
        <f t="shared" si="3"/>
        <v>0.16911764705882354</v>
      </c>
    </row>
    <row r="6" spans="1:38" x14ac:dyDescent="0.25">
      <c r="A6" t="s">
        <v>59</v>
      </c>
      <c r="B6">
        <v>0</v>
      </c>
      <c r="C6">
        <v>0</v>
      </c>
      <c r="D6">
        <v>5</v>
      </c>
      <c r="E6">
        <v>40</v>
      </c>
      <c r="F6">
        <v>20</v>
      </c>
      <c r="G6">
        <v>5</v>
      </c>
      <c r="H6">
        <v>0</v>
      </c>
      <c r="I6">
        <v>0</v>
      </c>
      <c r="J6" s="4">
        <f t="shared" si="0"/>
        <v>70</v>
      </c>
      <c r="K6" s="12">
        <f t="shared" si="1"/>
        <v>0.27777777777777779</v>
      </c>
      <c r="M6" t="s">
        <v>59</v>
      </c>
      <c r="N6">
        <f>B6+'Version 3 (GI) students only'!B6</f>
        <v>0</v>
      </c>
      <c r="O6">
        <f>C6+'Version 3 (GI) students only'!C6</f>
        <v>3</v>
      </c>
      <c r="P6">
        <f>D6+'Version 3 (GI) students only'!D6</f>
        <v>18</v>
      </c>
      <c r="Q6">
        <f>E6+'Version 3 (GI) students only'!E6</f>
        <v>55</v>
      </c>
      <c r="R6">
        <f>F6+'Version 3 (GI) students only'!F6</f>
        <v>37</v>
      </c>
      <c r="S6">
        <f>G6+'Version 3 (GI) students only'!G6</f>
        <v>8</v>
      </c>
      <c r="T6">
        <f>H6+'Version 3 (GI) students only'!H6</f>
        <v>2</v>
      </c>
      <c r="U6">
        <f>I6+'Version 3 (GI) students only'!I6</f>
        <v>0</v>
      </c>
      <c r="V6" s="46">
        <f t="shared" si="2"/>
        <v>123</v>
      </c>
      <c r="W6" s="76">
        <f t="shared" si="3"/>
        <v>0.22610294117647059</v>
      </c>
    </row>
    <row r="7" spans="1:38" x14ac:dyDescent="0.25">
      <c r="A7" t="s">
        <v>60</v>
      </c>
      <c r="B7">
        <v>3</v>
      </c>
      <c r="C7">
        <v>5</v>
      </c>
      <c r="D7">
        <v>12</v>
      </c>
      <c r="E7">
        <v>38</v>
      </c>
      <c r="F7">
        <v>8</v>
      </c>
      <c r="G7">
        <v>4</v>
      </c>
      <c r="H7">
        <v>3</v>
      </c>
      <c r="I7">
        <v>0</v>
      </c>
      <c r="J7" s="4">
        <f t="shared" si="0"/>
        <v>73</v>
      </c>
      <c r="K7" s="12">
        <f t="shared" si="1"/>
        <v>0.28968253968253971</v>
      </c>
      <c r="M7" t="s">
        <v>60</v>
      </c>
      <c r="N7">
        <f>B7+'Version 3 (GI) students only'!B7</f>
        <v>4</v>
      </c>
      <c r="O7">
        <f>C7+'Version 3 (GI) students only'!C7</f>
        <v>7</v>
      </c>
      <c r="P7">
        <f>D7+'Version 3 (GI) students only'!D7</f>
        <v>29</v>
      </c>
      <c r="Q7">
        <f>E7+'Version 3 (GI) students only'!E7</f>
        <v>90</v>
      </c>
      <c r="R7">
        <f>F7+'Version 3 (GI) students only'!F7</f>
        <v>18</v>
      </c>
      <c r="S7">
        <f>G7+'Version 3 (GI) students only'!G7</f>
        <v>8</v>
      </c>
      <c r="T7">
        <f>H7+'Version 3 (GI) students only'!H7</f>
        <v>4</v>
      </c>
      <c r="U7">
        <f>I7+'Version 3 (GI) students only'!I7</f>
        <v>1</v>
      </c>
      <c r="V7" s="46">
        <f t="shared" si="2"/>
        <v>161</v>
      </c>
      <c r="W7" s="76">
        <f t="shared" si="3"/>
        <v>0.29595588235294118</v>
      </c>
    </row>
    <row r="8" spans="1:38" x14ac:dyDescent="0.25">
      <c r="A8" t="s">
        <v>62</v>
      </c>
      <c r="B8">
        <v>0</v>
      </c>
      <c r="C8">
        <v>0</v>
      </c>
      <c r="D8">
        <v>10</v>
      </c>
      <c r="E8">
        <v>9</v>
      </c>
      <c r="F8">
        <v>4</v>
      </c>
      <c r="G8">
        <v>4</v>
      </c>
      <c r="H8">
        <v>0</v>
      </c>
      <c r="I8">
        <v>0</v>
      </c>
      <c r="J8" s="4">
        <f t="shared" si="0"/>
        <v>27</v>
      </c>
      <c r="K8" s="12">
        <f t="shared" si="1"/>
        <v>0.10714285714285714</v>
      </c>
      <c r="M8" t="s">
        <v>62</v>
      </c>
      <c r="N8">
        <f>B8+'Version 3 (GI) students only'!B8</f>
        <v>0</v>
      </c>
      <c r="O8">
        <f>C8+'Version 3 (GI) students only'!C8</f>
        <v>2</v>
      </c>
      <c r="P8">
        <f>D8+'Version 3 (GI) students only'!D8</f>
        <v>27</v>
      </c>
      <c r="Q8">
        <f>E8+'Version 3 (GI) students only'!E8</f>
        <v>24</v>
      </c>
      <c r="R8">
        <f>F8+'Version 3 (GI) students only'!F8</f>
        <v>8</v>
      </c>
      <c r="S8">
        <f>G8+'Version 3 (GI) students only'!G8</f>
        <v>5</v>
      </c>
      <c r="T8">
        <f>H8+'Version 3 (GI) students only'!H8</f>
        <v>1</v>
      </c>
      <c r="U8">
        <f>I8+'Version 3 (GI) students only'!I8</f>
        <v>0</v>
      </c>
      <c r="V8" s="46">
        <f t="shared" si="2"/>
        <v>67</v>
      </c>
      <c r="W8" s="76">
        <f t="shared" si="3"/>
        <v>0.12316176470588236</v>
      </c>
    </row>
    <row r="9" spans="1:38" x14ac:dyDescent="0.25">
      <c r="A9" t="s">
        <v>63</v>
      </c>
      <c r="B9">
        <v>1</v>
      </c>
      <c r="C9">
        <v>5</v>
      </c>
      <c r="D9">
        <v>3</v>
      </c>
      <c r="E9">
        <v>0</v>
      </c>
      <c r="F9">
        <v>1</v>
      </c>
      <c r="G9">
        <v>2</v>
      </c>
      <c r="H9">
        <v>1</v>
      </c>
      <c r="I9">
        <v>0</v>
      </c>
      <c r="J9" s="4">
        <f t="shared" si="0"/>
        <v>13</v>
      </c>
      <c r="K9" s="12">
        <f t="shared" si="1"/>
        <v>5.1587301587301584E-2</v>
      </c>
      <c r="M9" t="s">
        <v>63</v>
      </c>
      <c r="N9">
        <f>B9+'Version 3 (GI) students only'!B9</f>
        <v>2</v>
      </c>
      <c r="O9">
        <f>C9+'Version 3 (GI) students only'!C9</f>
        <v>11</v>
      </c>
      <c r="P9">
        <f>D9+'Version 3 (GI) students only'!D9</f>
        <v>8</v>
      </c>
      <c r="Q9">
        <f>E9+'Version 3 (GI) students only'!E9</f>
        <v>4</v>
      </c>
      <c r="R9">
        <f>F9+'Version 3 (GI) students only'!F9</f>
        <v>2</v>
      </c>
      <c r="S9">
        <f>G9+'Version 3 (GI) students only'!G9</f>
        <v>2</v>
      </c>
      <c r="T9">
        <f>H9+'Version 3 (GI) students only'!H9</f>
        <v>1</v>
      </c>
      <c r="U9">
        <f>I9+'Version 3 (GI) students only'!I9</f>
        <v>0</v>
      </c>
      <c r="V9" s="46">
        <f t="shared" si="2"/>
        <v>30</v>
      </c>
      <c r="W9" s="76">
        <f t="shared" si="3"/>
        <v>5.514705882352941E-2</v>
      </c>
    </row>
    <row r="10" spans="1:38" x14ac:dyDescent="0.25">
      <c r="A10" t="s">
        <v>64</v>
      </c>
      <c r="B10">
        <v>1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 s="4">
        <f t="shared" si="0"/>
        <v>2</v>
      </c>
      <c r="K10" s="12">
        <f t="shared" si="1"/>
        <v>7.9365079365079361E-3</v>
      </c>
      <c r="M10" t="s">
        <v>64</v>
      </c>
      <c r="N10">
        <f>B10+'Version 3 (GI) students only'!B10</f>
        <v>5</v>
      </c>
      <c r="O10">
        <f>C10+'Version 3 (GI) students only'!C10</f>
        <v>0</v>
      </c>
      <c r="P10">
        <f>D10+'Version 3 (GI) students only'!D10</f>
        <v>3</v>
      </c>
      <c r="Q10">
        <f>E10+'Version 3 (GI) students only'!E10</f>
        <v>1</v>
      </c>
      <c r="R10">
        <f>F10+'Version 3 (GI) students only'!F10</f>
        <v>0</v>
      </c>
      <c r="S10">
        <f>G10+'Version 3 (GI) students only'!G10</f>
        <v>0</v>
      </c>
      <c r="T10">
        <f>H10+'Version 3 (GI) students only'!H10</f>
        <v>0</v>
      </c>
      <c r="U10">
        <f>I10+'Version 3 (GI) students only'!I10</f>
        <v>0</v>
      </c>
      <c r="V10" s="46">
        <f t="shared" si="2"/>
        <v>9</v>
      </c>
      <c r="W10" s="76">
        <f t="shared" si="3"/>
        <v>1.6544117647058824E-2</v>
      </c>
    </row>
    <row r="11" spans="1:38" x14ac:dyDescent="0.25">
      <c r="A11" s="5" t="s">
        <v>65</v>
      </c>
      <c r="B11" s="6">
        <f>SUM(B3:B10)</f>
        <v>5</v>
      </c>
      <c r="C11" s="6">
        <f t="shared" ref="C11:I11" si="4">SUM(C3:C10)</f>
        <v>13</v>
      </c>
      <c r="D11" s="6">
        <f t="shared" si="4"/>
        <v>48</v>
      </c>
      <c r="E11" s="6">
        <f t="shared" si="4"/>
        <v>105</v>
      </c>
      <c r="F11" s="6">
        <f t="shared" si="4"/>
        <v>41</v>
      </c>
      <c r="G11" s="6">
        <f t="shared" si="4"/>
        <v>32</v>
      </c>
      <c r="H11" s="6">
        <f t="shared" si="4"/>
        <v>7</v>
      </c>
      <c r="I11" s="77">
        <f t="shared" si="4"/>
        <v>1</v>
      </c>
      <c r="J11" s="4">
        <f>SUM(J3:J10)</f>
        <v>252</v>
      </c>
      <c r="K11" s="4"/>
      <c r="M11" s="74" t="s">
        <v>65</v>
      </c>
      <c r="N11" s="74">
        <f>SUM(N3:N10)</f>
        <v>12</v>
      </c>
      <c r="O11" s="74">
        <f t="shared" ref="O11:U11" si="5">SUM(O3:O10)</f>
        <v>31</v>
      </c>
      <c r="P11" s="74">
        <f t="shared" si="5"/>
        <v>117</v>
      </c>
      <c r="Q11" s="74">
        <f t="shared" si="5"/>
        <v>226</v>
      </c>
      <c r="R11" s="74">
        <f t="shared" si="5"/>
        <v>84</v>
      </c>
      <c r="S11" s="74">
        <f t="shared" si="5"/>
        <v>49</v>
      </c>
      <c r="T11" s="74">
        <f t="shared" si="5"/>
        <v>17</v>
      </c>
      <c r="U11" s="74">
        <f t="shared" si="5"/>
        <v>8</v>
      </c>
      <c r="V11" s="46">
        <f>SUM(V3:V10)</f>
        <v>544</v>
      </c>
      <c r="W11" s="46"/>
    </row>
    <row r="12" spans="1:38" x14ac:dyDescent="0.25">
      <c r="A12" s="5" t="s">
        <v>91</v>
      </c>
      <c r="B12" s="13">
        <f>B11/$J$11</f>
        <v>1.984126984126984E-2</v>
      </c>
      <c r="C12" s="13">
        <f t="shared" ref="C12:I12" si="6">C11/$J$11</f>
        <v>5.1587301587301584E-2</v>
      </c>
      <c r="D12" s="13">
        <f t="shared" si="6"/>
        <v>0.19047619047619047</v>
      </c>
      <c r="E12" s="13">
        <f t="shared" si="6"/>
        <v>0.41666666666666669</v>
      </c>
      <c r="F12" s="13">
        <f t="shared" si="6"/>
        <v>0.1626984126984127</v>
      </c>
      <c r="G12" s="13">
        <f t="shared" si="6"/>
        <v>0.12698412698412698</v>
      </c>
      <c r="H12" s="13">
        <f t="shared" si="6"/>
        <v>2.7777777777777776E-2</v>
      </c>
      <c r="I12" s="29">
        <f t="shared" si="6"/>
        <v>3.968253968253968E-3</v>
      </c>
      <c r="J12" s="19">
        <f>SUM(B12:I12)</f>
        <v>1</v>
      </c>
      <c r="K12" s="4"/>
      <c r="M12" s="74" t="s">
        <v>91</v>
      </c>
      <c r="N12" s="75">
        <f>N11/$V$11</f>
        <v>2.2058823529411766E-2</v>
      </c>
      <c r="O12" s="75">
        <f t="shared" ref="O12:U12" si="7">O11/$V$11</f>
        <v>5.6985294117647058E-2</v>
      </c>
      <c r="P12" s="75">
        <f t="shared" si="7"/>
        <v>0.21507352941176472</v>
      </c>
      <c r="Q12" s="75">
        <f t="shared" si="7"/>
        <v>0.41544117647058826</v>
      </c>
      <c r="R12" s="75">
        <f t="shared" si="7"/>
        <v>0.15441176470588236</v>
      </c>
      <c r="S12" s="75">
        <f t="shared" si="7"/>
        <v>9.0073529411764705E-2</v>
      </c>
      <c r="T12" s="75">
        <f t="shared" si="7"/>
        <v>3.125E-2</v>
      </c>
      <c r="U12" s="75">
        <f t="shared" si="7"/>
        <v>1.4705882352941176E-2</v>
      </c>
      <c r="V12" s="76">
        <f>SUM(N12:U12)</f>
        <v>1</v>
      </c>
      <c r="W12" s="46"/>
    </row>
    <row r="13" spans="1:38" x14ac:dyDescent="0.25">
      <c r="A13" s="5" t="s">
        <v>88</v>
      </c>
      <c r="B13" s="6" t="s">
        <v>64</v>
      </c>
      <c r="C13" s="6" t="s">
        <v>63</v>
      </c>
      <c r="D13" s="6" t="s">
        <v>62</v>
      </c>
      <c r="E13" s="6" t="s">
        <v>60</v>
      </c>
      <c r="F13" s="6" t="s">
        <v>59</v>
      </c>
      <c r="G13" s="6" t="s">
        <v>57</v>
      </c>
      <c r="H13" s="6" t="s">
        <v>89</v>
      </c>
      <c r="I13" s="33" t="s">
        <v>55</v>
      </c>
      <c r="J13" s="4"/>
      <c r="K13" s="4"/>
      <c r="M13" t="s">
        <v>88</v>
      </c>
      <c r="N13" t="s">
        <v>64</v>
      </c>
      <c r="O13" t="s">
        <v>63</v>
      </c>
      <c r="P13" t="s">
        <v>62</v>
      </c>
      <c r="Q13" t="s">
        <v>60</v>
      </c>
      <c r="R13" t="s">
        <v>59</v>
      </c>
      <c r="S13" t="s">
        <v>57</v>
      </c>
      <c r="T13" t="s">
        <v>89</v>
      </c>
      <c r="U13" s="10" t="s">
        <v>55</v>
      </c>
    </row>
    <row r="14" spans="1:38" x14ac:dyDescent="0.25">
      <c r="A14" s="8" t="s">
        <v>108</v>
      </c>
      <c r="B14" s="7"/>
      <c r="C14" s="7"/>
      <c r="D14" s="7"/>
      <c r="E14" s="7"/>
      <c r="F14" s="7"/>
      <c r="G14" s="7"/>
      <c r="H14" s="7"/>
      <c r="I14" s="54"/>
      <c r="J14" s="7"/>
      <c r="K14" s="7"/>
      <c r="M14" s="80" t="s">
        <v>290</v>
      </c>
      <c r="N14" s="7"/>
      <c r="O14" s="7"/>
      <c r="P14" s="7"/>
    </row>
    <row r="15" spans="1:38" x14ac:dyDescent="0.25">
      <c r="A15" s="1" t="s">
        <v>61</v>
      </c>
      <c r="J15" s="4"/>
      <c r="K15" s="4"/>
      <c r="M15" s="1" t="s">
        <v>61</v>
      </c>
      <c r="V15" s="46"/>
      <c r="Y15" t="s">
        <v>202</v>
      </c>
      <c r="AE15" t="s">
        <v>213</v>
      </c>
      <c r="AJ15" t="s">
        <v>153</v>
      </c>
    </row>
    <row r="16" spans="1:38" x14ac:dyDescent="0.25">
      <c r="A16" s="2" t="s">
        <v>55</v>
      </c>
      <c r="B16" s="20">
        <f t="shared" ref="B16:I23" si="8">B3/$J$11</f>
        <v>0</v>
      </c>
      <c r="C16" s="20">
        <f t="shared" si="8"/>
        <v>3.968253968253968E-3</v>
      </c>
      <c r="D16" s="20">
        <f t="shared" si="8"/>
        <v>0</v>
      </c>
      <c r="E16" s="20">
        <f t="shared" si="8"/>
        <v>3.968253968253968E-3</v>
      </c>
      <c r="F16" s="20">
        <f t="shared" si="8"/>
        <v>0</v>
      </c>
      <c r="G16" s="20">
        <f t="shared" si="8"/>
        <v>0</v>
      </c>
      <c r="H16" s="20">
        <f t="shared" si="8"/>
        <v>0</v>
      </c>
      <c r="I16" s="28">
        <f t="shared" si="8"/>
        <v>0</v>
      </c>
      <c r="J16" s="39">
        <f>SUM(B16:I16)</f>
        <v>7.9365079365079361E-3</v>
      </c>
      <c r="K16" s="12"/>
      <c r="M16" s="2" t="s">
        <v>55</v>
      </c>
      <c r="N16" s="20">
        <f>N3/$V$11</f>
        <v>1.838235294117647E-3</v>
      </c>
      <c r="O16" s="20">
        <f t="shared" ref="O16:V16" si="9">O3/$V$11</f>
        <v>7.3529411764705881E-3</v>
      </c>
      <c r="P16" s="20">
        <f t="shared" si="9"/>
        <v>3.6764705882352941E-3</v>
      </c>
      <c r="Q16" s="20">
        <f t="shared" si="9"/>
        <v>1.4705882352941176E-2</v>
      </c>
      <c r="R16" s="20">
        <f t="shared" si="9"/>
        <v>1.2867647058823529E-2</v>
      </c>
      <c r="S16" s="20">
        <f t="shared" si="9"/>
        <v>1.838235294117647E-3</v>
      </c>
      <c r="T16" s="20">
        <f t="shared" si="9"/>
        <v>3.6764705882352941E-3</v>
      </c>
      <c r="U16" s="20">
        <f t="shared" si="9"/>
        <v>5.5147058823529415E-3</v>
      </c>
      <c r="V16" s="79">
        <f t="shared" si="9"/>
        <v>5.1470588235294115E-2</v>
      </c>
      <c r="X16" s="41" t="s">
        <v>179</v>
      </c>
      <c r="Y16" t="s">
        <v>203</v>
      </c>
      <c r="Z16" t="s">
        <v>204</v>
      </c>
      <c r="AA16" t="s">
        <v>212</v>
      </c>
      <c r="AD16" s="41" t="s">
        <v>179</v>
      </c>
      <c r="AE16" t="s">
        <v>203</v>
      </c>
      <c r="AF16" t="s">
        <v>214</v>
      </c>
      <c r="AG16" t="s">
        <v>212</v>
      </c>
      <c r="AJ16" t="s">
        <v>145</v>
      </c>
      <c r="AK16" t="s">
        <v>146</v>
      </c>
      <c r="AL16" t="s">
        <v>150</v>
      </c>
    </row>
    <row r="17" spans="1:39" x14ac:dyDescent="0.25">
      <c r="A17" s="3" t="s">
        <v>56</v>
      </c>
      <c r="B17" s="20">
        <f t="shared" si="8"/>
        <v>0</v>
      </c>
      <c r="C17" s="20">
        <f t="shared" si="8"/>
        <v>0</v>
      </c>
      <c r="D17" s="20">
        <f t="shared" si="8"/>
        <v>1.5873015873015872E-2</v>
      </c>
      <c r="E17" s="20">
        <f t="shared" si="8"/>
        <v>7.9365079365079361E-3</v>
      </c>
      <c r="F17" s="20">
        <f t="shared" si="8"/>
        <v>0</v>
      </c>
      <c r="G17" s="20">
        <f t="shared" si="8"/>
        <v>7.9365079365079361E-3</v>
      </c>
      <c r="H17" s="20">
        <f t="shared" si="8"/>
        <v>1.1904761904761904E-2</v>
      </c>
      <c r="I17" s="28">
        <f t="shared" si="8"/>
        <v>0</v>
      </c>
      <c r="J17" s="39">
        <f t="shared" ref="J17:J23" si="10">SUM(B17:I17)</f>
        <v>4.3650793650793648E-2</v>
      </c>
      <c r="K17" s="12"/>
      <c r="M17" s="3" t="s">
        <v>56</v>
      </c>
      <c r="N17" s="20">
        <f t="shared" ref="N17:V24" si="11">N4/$V$11</f>
        <v>0</v>
      </c>
      <c r="O17" s="20">
        <f t="shared" si="11"/>
        <v>3.6764705882352941E-3</v>
      </c>
      <c r="P17" s="20">
        <f t="shared" si="11"/>
        <v>1.6544117647058824E-2</v>
      </c>
      <c r="Q17" s="20">
        <f t="shared" si="11"/>
        <v>2.2058823529411766E-2</v>
      </c>
      <c r="R17" s="20">
        <f t="shared" si="11"/>
        <v>3.6764705882352941E-3</v>
      </c>
      <c r="S17" s="20">
        <f t="shared" si="11"/>
        <v>5.5147058823529415E-3</v>
      </c>
      <c r="T17" s="20">
        <f t="shared" si="11"/>
        <v>9.1911764705882356E-3</v>
      </c>
      <c r="U17" s="20">
        <f t="shared" si="11"/>
        <v>1.838235294117647E-3</v>
      </c>
      <c r="V17" s="79">
        <f t="shared" si="11"/>
        <v>6.25E-2</v>
      </c>
      <c r="X17">
        <v>1</v>
      </c>
      <c r="Y17" s="35">
        <f>B24</f>
        <v>1.984126984126984E-2</v>
      </c>
      <c r="Z17" s="35">
        <f>J23</f>
        <v>7.9365079365079361E-3</v>
      </c>
      <c r="AA17" s="35">
        <f>ABS(Y17-Z17)</f>
        <v>1.1904761904761904E-2</v>
      </c>
      <c r="AD17">
        <v>1</v>
      </c>
      <c r="AE17" s="35">
        <f>Y17</f>
        <v>1.984126984126984E-2</v>
      </c>
      <c r="AF17" s="35">
        <f>J16</f>
        <v>7.9365079365079361E-3</v>
      </c>
      <c r="AG17" s="35">
        <f>ABS(AE17-AF17)</f>
        <v>1.1904761904761904E-2</v>
      </c>
      <c r="AJ17">
        <v>0.1</v>
      </c>
      <c r="AK17">
        <v>1.22</v>
      </c>
      <c r="AL17">
        <f>SQRT((AJ22+AJ23)/(AJ22*AJ23))</f>
        <v>0.17817416127494959</v>
      </c>
      <c r="AM17">
        <f>PRODUCT(AL17, AK17)</f>
        <v>0.2173724767554385</v>
      </c>
    </row>
    <row r="18" spans="1:39" x14ac:dyDescent="0.25">
      <c r="A18" t="s">
        <v>57</v>
      </c>
      <c r="B18" s="20">
        <f t="shared" si="8"/>
        <v>0</v>
      </c>
      <c r="C18" s="20">
        <f t="shared" si="8"/>
        <v>7.9365079365079361E-3</v>
      </c>
      <c r="D18" s="20">
        <f t="shared" si="8"/>
        <v>5.1587301587301584E-2</v>
      </c>
      <c r="E18" s="20">
        <f t="shared" si="8"/>
        <v>5.9523809523809521E-2</v>
      </c>
      <c r="F18" s="20">
        <f t="shared" si="8"/>
        <v>3.1746031746031744E-2</v>
      </c>
      <c r="G18" s="20">
        <f t="shared" si="8"/>
        <v>5.9523809523809521E-2</v>
      </c>
      <c r="H18" s="20">
        <f t="shared" si="8"/>
        <v>0</v>
      </c>
      <c r="I18" s="28">
        <f t="shared" si="8"/>
        <v>3.968253968253968E-3</v>
      </c>
      <c r="J18" s="39">
        <f t="shared" si="10"/>
        <v>0.21428571428571425</v>
      </c>
      <c r="K18" s="12"/>
      <c r="M18" t="s">
        <v>57</v>
      </c>
      <c r="N18" s="20">
        <f t="shared" si="11"/>
        <v>0</v>
      </c>
      <c r="O18" s="20">
        <f t="shared" si="11"/>
        <v>3.6764705882352941E-3</v>
      </c>
      <c r="P18" s="20">
        <f t="shared" si="11"/>
        <v>3.860294117647059E-2</v>
      </c>
      <c r="Q18" s="20">
        <f t="shared" si="11"/>
        <v>5.8823529411764705E-2</v>
      </c>
      <c r="R18" s="20">
        <f t="shared" si="11"/>
        <v>1.8382352941176471E-2</v>
      </c>
      <c r="S18" s="20">
        <f t="shared" si="11"/>
        <v>4.0441176470588237E-2</v>
      </c>
      <c r="T18" s="20">
        <f t="shared" si="11"/>
        <v>3.6764705882352941E-3</v>
      </c>
      <c r="U18" s="20">
        <f t="shared" si="11"/>
        <v>5.5147058823529415E-3</v>
      </c>
      <c r="V18" s="79">
        <f t="shared" si="11"/>
        <v>0.16911764705882354</v>
      </c>
      <c r="X18" t="s">
        <v>205</v>
      </c>
      <c r="Y18" s="35">
        <f>B24+C24</f>
        <v>7.1428571428571425E-2</v>
      </c>
      <c r="Z18" s="35">
        <f>J23+J22</f>
        <v>5.9523809523809521E-2</v>
      </c>
      <c r="AA18" s="35">
        <f t="shared" ref="AA18:AA24" si="12">ABS(Y18-Z18)</f>
        <v>1.1904761904761904E-2</v>
      </c>
      <c r="AD18" t="s">
        <v>205</v>
      </c>
      <c r="AE18" s="35">
        <f t="shared" ref="AE18:AE24" si="13">Y18</f>
        <v>7.1428571428571425E-2</v>
      </c>
      <c r="AF18" s="35">
        <f>J16+J17</f>
        <v>5.1587301587301584E-2</v>
      </c>
      <c r="AG18" s="35">
        <f t="shared" ref="AG18:AG24" si="14">ABS(AE18-AF18)</f>
        <v>1.984126984126984E-2</v>
      </c>
      <c r="AJ18">
        <v>0.05</v>
      </c>
      <c r="AK18">
        <v>1.36</v>
      </c>
      <c r="AM18">
        <f>AL17*AK18</f>
        <v>0.24231685933393146</v>
      </c>
    </row>
    <row r="19" spans="1:39" x14ac:dyDescent="0.25">
      <c r="A19" t="s">
        <v>59</v>
      </c>
      <c r="B19" s="20">
        <f t="shared" si="8"/>
        <v>0</v>
      </c>
      <c r="C19" s="20">
        <f t="shared" si="8"/>
        <v>0</v>
      </c>
      <c r="D19" s="20">
        <f t="shared" si="8"/>
        <v>1.984126984126984E-2</v>
      </c>
      <c r="E19" s="20">
        <f t="shared" si="8"/>
        <v>0.15873015873015872</v>
      </c>
      <c r="F19" s="20">
        <f t="shared" si="8"/>
        <v>7.9365079365079361E-2</v>
      </c>
      <c r="G19" s="20">
        <f t="shared" si="8"/>
        <v>1.984126984126984E-2</v>
      </c>
      <c r="H19" s="20">
        <f t="shared" si="8"/>
        <v>0</v>
      </c>
      <c r="I19" s="28">
        <f t="shared" si="8"/>
        <v>0</v>
      </c>
      <c r="J19" s="39">
        <f t="shared" si="10"/>
        <v>0.27777777777777773</v>
      </c>
      <c r="K19" s="12"/>
      <c r="M19" t="s">
        <v>59</v>
      </c>
      <c r="N19" s="20">
        <f t="shared" si="11"/>
        <v>0</v>
      </c>
      <c r="O19" s="20">
        <f t="shared" si="11"/>
        <v>5.5147058823529415E-3</v>
      </c>
      <c r="P19" s="20">
        <f t="shared" si="11"/>
        <v>3.3088235294117647E-2</v>
      </c>
      <c r="Q19" s="20">
        <f t="shared" si="11"/>
        <v>0.10110294117647059</v>
      </c>
      <c r="R19" s="20">
        <f t="shared" si="11"/>
        <v>6.8014705882352935E-2</v>
      </c>
      <c r="S19" s="20">
        <f t="shared" si="11"/>
        <v>1.4705882352941176E-2</v>
      </c>
      <c r="T19" s="20">
        <f t="shared" si="11"/>
        <v>3.6764705882352941E-3</v>
      </c>
      <c r="U19" s="20">
        <f t="shared" si="11"/>
        <v>0</v>
      </c>
      <c r="V19" s="79">
        <f t="shared" si="11"/>
        <v>0.22610294117647059</v>
      </c>
      <c r="X19" t="s">
        <v>206</v>
      </c>
      <c r="Y19" s="35">
        <f>B24+C24+D24</f>
        <v>0.26190476190476186</v>
      </c>
      <c r="Z19" s="35">
        <f>J23+J22+J21</f>
        <v>0.16666666666666666</v>
      </c>
      <c r="AA19" s="35">
        <f t="shared" si="12"/>
        <v>9.5238095238095205E-2</v>
      </c>
      <c r="AD19" t="s">
        <v>206</v>
      </c>
      <c r="AE19" s="35">
        <f t="shared" si="13"/>
        <v>0.26190476190476186</v>
      </c>
      <c r="AF19" s="35">
        <f>J16+J17+J18</f>
        <v>0.26587301587301582</v>
      </c>
      <c r="AG19" s="35">
        <f t="shared" si="14"/>
        <v>3.9682539682539542E-3</v>
      </c>
      <c r="AJ19">
        <v>0.01</v>
      </c>
      <c r="AK19">
        <v>1.63</v>
      </c>
      <c r="AM19">
        <f>AL17*AK19</f>
        <v>0.29042388287816778</v>
      </c>
    </row>
    <row r="20" spans="1:39" x14ac:dyDescent="0.25">
      <c r="A20" t="s">
        <v>60</v>
      </c>
      <c r="B20" s="20">
        <f t="shared" si="8"/>
        <v>1.1904761904761904E-2</v>
      </c>
      <c r="C20" s="20">
        <f t="shared" si="8"/>
        <v>1.984126984126984E-2</v>
      </c>
      <c r="D20" s="20">
        <f t="shared" si="8"/>
        <v>4.7619047619047616E-2</v>
      </c>
      <c r="E20" s="20">
        <f t="shared" si="8"/>
        <v>0.15079365079365079</v>
      </c>
      <c r="F20" s="20">
        <f t="shared" si="8"/>
        <v>3.1746031746031744E-2</v>
      </c>
      <c r="G20" s="20">
        <f t="shared" si="8"/>
        <v>1.5873015873015872E-2</v>
      </c>
      <c r="H20" s="20">
        <f t="shared" si="8"/>
        <v>1.1904761904761904E-2</v>
      </c>
      <c r="I20" s="28">
        <f t="shared" si="8"/>
        <v>0</v>
      </c>
      <c r="J20" s="39">
        <f t="shared" si="10"/>
        <v>0.28968253968253965</v>
      </c>
      <c r="K20" s="12"/>
      <c r="M20" t="s">
        <v>60</v>
      </c>
      <c r="N20" s="20">
        <f t="shared" si="11"/>
        <v>7.3529411764705881E-3</v>
      </c>
      <c r="O20" s="20">
        <f t="shared" si="11"/>
        <v>1.2867647058823529E-2</v>
      </c>
      <c r="P20" s="20">
        <f t="shared" si="11"/>
        <v>5.3308823529411763E-2</v>
      </c>
      <c r="Q20" s="20">
        <f t="shared" si="11"/>
        <v>0.16544117647058823</v>
      </c>
      <c r="R20" s="20">
        <f t="shared" si="11"/>
        <v>3.3088235294117647E-2</v>
      </c>
      <c r="S20" s="20">
        <f t="shared" si="11"/>
        <v>1.4705882352941176E-2</v>
      </c>
      <c r="T20" s="20">
        <f t="shared" si="11"/>
        <v>7.3529411764705881E-3</v>
      </c>
      <c r="U20" s="20">
        <f t="shared" si="11"/>
        <v>1.838235294117647E-3</v>
      </c>
      <c r="V20" s="79">
        <f t="shared" si="11"/>
        <v>0.29595588235294118</v>
      </c>
      <c r="X20" t="s">
        <v>207</v>
      </c>
      <c r="Y20" s="35">
        <f>B24+C24+D24+E24</f>
        <v>0.67857142857142849</v>
      </c>
      <c r="Z20" s="35">
        <f>J23+J22+J21+J20</f>
        <v>0.45634920634920628</v>
      </c>
      <c r="AA20" s="35">
        <f t="shared" si="12"/>
        <v>0.22222222222222221</v>
      </c>
      <c r="AD20" t="s">
        <v>207</v>
      </c>
      <c r="AE20" s="35">
        <f t="shared" si="13"/>
        <v>0.67857142857142849</v>
      </c>
      <c r="AF20" s="35">
        <f>J16+J17+J18+J19</f>
        <v>0.5436507936507935</v>
      </c>
      <c r="AG20" s="35">
        <f t="shared" si="14"/>
        <v>0.134920634920635</v>
      </c>
    </row>
    <row r="21" spans="1:39" x14ac:dyDescent="0.25">
      <c r="A21" t="s">
        <v>62</v>
      </c>
      <c r="B21" s="20">
        <f t="shared" si="8"/>
        <v>0</v>
      </c>
      <c r="C21" s="20">
        <f t="shared" si="8"/>
        <v>0</v>
      </c>
      <c r="D21" s="20">
        <f t="shared" si="8"/>
        <v>3.968253968253968E-2</v>
      </c>
      <c r="E21" s="20">
        <f t="shared" si="8"/>
        <v>3.5714285714285712E-2</v>
      </c>
      <c r="F21" s="20">
        <f t="shared" si="8"/>
        <v>1.5873015873015872E-2</v>
      </c>
      <c r="G21" s="20">
        <f t="shared" si="8"/>
        <v>1.5873015873015872E-2</v>
      </c>
      <c r="H21" s="20">
        <f t="shared" si="8"/>
        <v>0</v>
      </c>
      <c r="I21" s="28">
        <f t="shared" si="8"/>
        <v>0</v>
      </c>
      <c r="J21" s="39">
        <f t="shared" si="10"/>
        <v>0.10714285714285714</v>
      </c>
      <c r="K21" s="12"/>
      <c r="M21" t="s">
        <v>62</v>
      </c>
      <c r="N21" s="20">
        <f t="shared" si="11"/>
        <v>0</v>
      </c>
      <c r="O21" s="20">
        <f t="shared" si="11"/>
        <v>3.6764705882352941E-3</v>
      </c>
      <c r="P21" s="20">
        <f t="shared" si="11"/>
        <v>4.9632352941176468E-2</v>
      </c>
      <c r="Q21" s="20">
        <f t="shared" si="11"/>
        <v>4.4117647058823532E-2</v>
      </c>
      <c r="R21" s="20">
        <f t="shared" si="11"/>
        <v>1.4705882352941176E-2</v>
      </c>
      <c r="S21" s="20">
        <f t="shared" si="11"/>
        <v>9.1911764705882356E-3</v>
      </c>
      <c r="T21" s="20">
        <f t="shared" si="11"/>
        <v>1.838235294117647E-3</v>
      </c>
      <c r="U21" s="20">
        <f t="shared" si="11"/>
        <v>0</v>
      </c>
      <c r="V21" s="79">
        <f t="shared" si="11"/>
        <v>0.12316176470588236</v>
      </c>
      <c r="X21" t="s">
        <v>208</v>
      </c>
      <c r="Y21" s="35">
        <f>B24+C24+D24+E24+F24</f>
        <v>0.84126984126984117</v>
      </c>
      <c r="Z21" s="35">
        <f>J23+J22+J21+J20+J19</f>
        <v>0.73412698412698396</v>
      </c>
      <c r="AA21" s="35">
        <f t="shared" si="12"/>
        <v>0.10714285714285721</v>
      </c>
      <c r="AD21" t="s">
        <v>208</v>
      </c>
      <c r="AE21" s="35">
        <f t="shared" si="13"/>
        <v>0.84126984126984117</v>
      </c>
      <c r="AF21" s="35">
        <f>J16+J17+J18+J19+J20</f>
        <v>0.83333333333333315</v>
      </c>
      <c r="AG21" s="35">
        <f t="shared" si="14"/>
        <v>7.9365079365080193E-3</v>
      </c>
      <c r="AJ21" t="s">
        <v>147</v>
      </c>
    </row>
    <row r="22" spans="1:39" x14ac:dyDescent="0.25">
      <c r="A22" t="s">
        <v>63</v>
      </c>
      <c r="B22" s="20">
        <f t="shared" si="8"/>
        <v>3.968253968253968E-3</v>
      </c>
      <c r="C22" s="20">
        <f t="shared" si="8"/>
        <v>1.984126984126984E-2</v>
      </c>
      <c r="D22" s="20">
        <f t="shared" si="8"/>
        <v>1.1904761904761904E-2</v>
      </c>
      <c r="E22" s="20">
        <f t="shared" si="8"/>
        <v>0</v>
      </c>
      <c r="F22" s="20">
        <f t="shared" si="8"/>
        <v>3.968253968253968E-3</v>
      </c>
      <c r="G22" s="20">
        <f t="shared" si="8"/>
        <v>7.9365079365079361E-3</v>
      </c>
      <c r="H22" s="20">
        <f t="shared" si="8"/>
        <v>3.968253968253968E-3</v>
      </c>
      <c r="I22" s="28">
        <f t="shared" si="8"/>
        <v>0</v>
      </c>
      <c r="J22" s="39">
        <f t="shared" si="10"/>
        <v>5.1587301587301584E-2</v>
      </c>
      <c r="K22" s="12"/>
      <c r="M22" t="s">
        <v>63</v>
      </c>
      <c r="N22" s="20">
        <f t="shared" si="11"/>
        <v>3.6764705882352941E-3</v>
      </c>
      <c r="O22" s="20">
        <f t="shared" si="11"/>
        <v>2.0220588235294119E-2</v>
      </c>
      <c r="P22" s="20">
        <f t="shared" si="11"/>
        <v>1.4705882352941176E-2</v>
      </c>
      <c r="Q22" s="20">
        <f t="shared" si="11"/>
        <v>7.3529411764705881E-3</v>
      </c>
      <c r="R22" s="20">
        <f t="shared" si="11"/>
        <v>3.6764705882352941E-3</v>
      </c>
      <c r="S22" s="20">
        <f t="shared" si="11"/>
        <v>3.6764705882352941E-3</v>
      </c>
      <c r="T22" s="20">
        <f t="shared" si="11"/>
        <v>1.838235294117647E-3</v>
      </c>
      <c r="U22" s="20">
        <f t="shared" si="11"/>
        <v>0</v>
      </c>
      <c r="V22" s="79">
        <f t="shared" si="11"/>
        <v>5.514705882352941E-2</v>
      </c>
      <c r="X22" t="s">
        <v>209</v>
      </c>
      <c r="Y22" s="35">
        <f>B24+C24+D24+E24+F24+G24</f>
        <v>0.96825396825396814</v>
      </c>
      <c r="Z22" s="35">
        <f>J23+J22+J21+J20+J19+J18</f>
        <v>0.94841269841269815</v>
      </c>
      <c r="AA22" s="35">
        <f t="shared" si="12"/>
        <v>1.9841269841269993E-2</v>
      </c>
      <c r="AD22" t="s">
        <v>209</v>
      </c>
      <c r="AE22" s="35">
        <f t="shared" si="13"/>
        <v>0.96825396825396814</v>
      </c>
      <c r="AF22" s="35">
        <f>J16+J17+J18+J19+J20+J21</f>
        <v>0.94047619047619024</v>
      </c>
      <c r="AG22" s="35">
        <f t="shared" si="14"/>
        <v>2.7777777777777901E-2</v>
      </c>
      <c r="AI22" t="s">
        <v>186</v>
      </c>
      <c r="AJ22">
        <v>63</v>
      </c>
    </row>
    <row r="23" spans="1:39" x14ac:dyDescent="0.25">
      <c r="A23" t="s">
        <v>64</v>
      </c>
      <c r="B23" s="20">
        <f t="shared" si="8"/>
        <v>3.968253968253968E-3</v>
      </c>
      <c r="C23" s="20">
        <f t="shared" si="8"/>
        <v>0</v>
      </c>
      <c r="D23" s="20">
        <f t="shared" si="8"/>
        <v>3.968253968253968E-3</v>
      </c>
      <c r="E23" s="20">
        <f t="shared" si="8"/>
        <v>0</v>
      </c>
      <c r="F23" s="20">
        <f t="shared" si="8"/>
        <v>0</v>
      </c>
      <c r="G23" s="20">
        <f t="shared" si="8"/>
        <v>0</v>
      </c>
      <c r="H23" s="20">
        <f t="shared" si="8"/>
        <v>0</v>
      </c>
      <c r="I23" s="28">
        <f t="shared" si="8"/>
        <v>0</v>
      </c>
      <c r="J23" s="39">
        <f t="shared" si="10"/>
        <v>7.9365079365079361E-3</v>
      </c>
      <c r="K23" s="12"/>
      <c r="M23" t="s">
        <v>64</v>
      </c>
      <c r="N23" s="20">
        <f t="shared" si="11"/>
        <v>9.1911764705882356E-3</v>
      </c>
      <c r="O23" s="20">
        <f t="shared" si="11"/>
        <v>0</v>
      </c>
      <c r="P23" s="20">
        <f t="shared" si="11"/>
        <v>5.5147058823529415E-3</v>
      </c>
      <c r="Q23" s="20">
        <f t="shared" si="11"/>
        <v>1.838235294117647E-3</v>
      </c>
      <c r="R23" s="20">
        <f t="shared" si="11"/>
        <v>0</v>
      </c>
      <c r="S23" s="20">
        <f t="shared" si="11"/>
        <v>0</v>
      </c>
      <c r="T23" s="20">
        <f t="shared" si="11"/>
        <v>0</v>
      </c>
      <c r="U23" s="20">
        <f t="shared" si="11"/>
        <v>0</v>
      </c>
      <c r="V23" s="79">
        <f t="shared" si="11"/>
        <v>1.6544117647058824E-2</v>
      </c>
      <c r="X23" t="s">
        <v>210</v>
      </c>
      <c r="Y23" s="35">
        <f>B24+C24+D24+E24+F24+G24+H24</f>
        <v>0.99603174603174593</v>
      </c>
      <c r="Z23" s="35">
        <f>J23+J22+J21+J20+J19+J18+J17</f>
        <v>0.99206349206349176</v>
      </c>
      <c r="AA23" s="35">
        <f t="shared" si="12"/>
        <v>3.9682539682541762E-3</v>
      </c>
      <c r="AD23" t="s">
        <v>210</v>
      </c>
      <c r="AE23" s="35">
        <f t="shared" si="13"/>
        <v>0.99603174603174593</v>
      </c>
      <c r="AF23" s="35">
        <f>J16+J17+J18+J19+J20+J21+J22</f>
        <v>0.99206349206349187</v>
      </c>
      <c r="AG23" s="35">
        <f t="shared" si="14"/>
        <v>3.9682539682540652E-3</v>
      </c>
      <c r="AI23" t="s">
        <v>186</v>
      </c>
      <c r="AJ23">
        <v>63</v>
      </c>
    </row>
    <row r="24" spans="1:39" x14ac:dyDescent="0.25">
      <c r="A24" s="5" t="s">
        <v>91</v>
      </c>
      <c r="B24" s="21">
        <f>SUM(B16:B23)</f>
        <v>1.984126984126984E-2</v>
      </c>
      <c r="C24" s="21">
        <f t="shared" ref="C24:I24" si="15">SUM(C16:C23)</f>
        <v>5.1587301587301584E-2</v>
      </c>
      <c r="D24" s="21">
        <f t="shared" si="15"/>
        <v>0.19047619047619047</v>
      </c>
      <c r="E24" s="21">
        <f t="shared" si="15"/>
        <v>0.41666666666666663</v>
      </c>
      <c r="F24" s="21">
        <f t="shared" si="15"/>
        <v>0.16269841269841268</v>
      </c>
      <c r="G24" s="21">
        <f t="shared" si="15"/>
        <v>0.12698412698412698</v>
      </c>
      <c r="H24" s="21">
        <f t="shared" si="15"/>
        <v>2.7777777777777776E-2</v>
      </c>
      <c r="I24" s="29">
        <f t="shared" si="15"/>
        <v>3.968253968253968E-3</v>
      </c>
      <c r="J24" s="40">
        <f>SUM(B24:I24)</f>
        <v>0.99999999999999989</v>
      </c>
      <c r="K24" s="4"/>
      <c r="M24" s="5" t="s">
        <v>91</v>
      </c>
      <c r="N24" s="78">
        <f t="shared" si="11"/>
        <v>2.2058823529411766E-2</v>
      </c>
      <c r="O24" s="78">
        <f t="shared" si="11"/>
        <v>5.6985294117647058E-2</v>
      </c>
      <c r="P24" s="78">
        <f t="shared" si="11"/>
        <v>0.21507352941176472</v>
      </c>
      <c r="Q24" s="78">
        <f t="shared" si="11"/>
        <v>0.41544117647058826</v>
      </c>
      <c r="R24" s="78">
        <f t="shared" si="11"/>
        <v>0.15441176470588236</v>
      </c>
      <c r="S24" s="78">
        <f t="shared" si="11"/>
        <v>9.0073529411764705E-2</v>
      </c>
      <c r="T24" s="78">
        <f t="shared" si="11"/>
        <v>3.125E-2</v>
      </c>
      <c r="U24" s="78">
        <f t="shared" si="11"/>
        <v>1.4705882352941176E-2</v>
      </c>
      <c r="V24" s="79">
        <f t="shared" si="11"/>
        <v>1</v>
      </c>
      <c r="X24" t="s">
        <v>211</v>
      </c>
      <c r="Y24" s="35">
        <f>B24+C24+D24+E24+F24+G24+H24+I24</f>
        <v>0.99999999999999989</v>
      </c>
      <c r="Z24" s="35">
        <f>J23+J22+J21+J20+J19+J18+J17+J16</f>
        <v>0.99999999999999967</v>
      </c>
      <c r="AA24" s="35">
        <f t="shared" si="12"/>
        <v>2.2204460492503131E-16</v>
      </c>
      <c r="AD24" t="s">
        <v>211</v>
      </c>
      <c r="AE24" s="35">
        <f t="shared" si="13"/>
        <v>0.99999999999999989</v>
      </c>
      <c r="AF24" s="35">
        <f>J16+J17+J18+J19+J20+J21+J22+J23</f>
        <v>0.99999999999999978</v>
      </c>
      <c r="AG24" s="35">
        <f t="shared" si="14"/>
        <v>1.1102230246251565E-16</v>
      </c>
    </row>
    <row r="25" spans="1:39" x14ac:dyDescent="0.25">
      <c r="A25" s="5" t="s">
        <v>88</v>
      </c>
      <c r="B25" s="6" t="s">
        <v>64</v>
      </c>
      <c r="C25" s="6" t="s">
        <v>63</v>
      </c>
      <c r="D25" s="6" t="s">
        <v>62</v>
      </c>
      <c r="E25" s="6" t="s">
        <v>60</v>
      </c>
      <c r="F25" s="6" t="s">
        <v>59</v>
      </c>
      <c r="G25" s="6" t="s">
        <v>57</v>
      </c>
      <c r="H25" s="6" t="s">
        <v>89</v>
      </c>
      <c r="I25" s="33" t="s">
        <v>55</v>
      </c>
      <c r="J25" s="4"/>
      <c r="K25" s="4"/>
      <c r="M25" s="5"/>
      <c r="N25" s="6"/>
      <c r="O25" s="6"/>
      <c r="P25" s="6"/>
      <c r="Q25" s="6"/>
      <c r="R25" s="6"/>
      <c r="S25" s="6"/>
      <c r="T25" s="6"/>
      <c r="U25" s="6"/>
      <c r="V25" s="4"/>
      <c r="X25" s="35"/>
      <c r="Y25" s="35"/>
      <c r="Z25" s="35"/>
      <c r="AA25" s="35">
        <f>MAX(AA17:AA24)</f>
        <v>0.22222222222222221</v>
      </c>
      <c r="AD25" s="35"/>
      <c r="AE25" s="35"/>
      <c r="AF25" s="35"/>
      <c r="AG25" s="35">
        <f t="shared" ref="AG25" si="16">MAX(AG17:AG24)</f>
        <v>0.134920634920635</v>
      </c>
    </row>
    <row r="26" spans="1:39" x14ac:dyDescent="0.25">
      <c r="A26" s="8"/>
      <c r="B26" s="7"/>
      <c r="C26" s="7"/>
      <c r="D26" s="7"/>
      <c r="E26" s="7"/>
      <c r="F26" s="7"/>
      <c r="G26" s="7"/>
      <c r="H26" s="7"/>
      <c r="I26" s="54"/>
      <c r="J26" s="7"/>
      <c r="K26" s="7"/>
    </row>
    <row r="27" spans="1:39" x14ac:dyDescent="0.25">
      <c r="A27" s="8" t="s">
        <v>103</v>
      </c>
      <c r="B27" s="7"/>
      <c r="C27" s="7"/>
      <c r="D27" s="7"/>
      <c r="E27" s="7"/>
      <c r="F27" s="7"/>
      <c r="G27" s="8" t="s">
        <v>104</v>
      </c>
      <c r="H27" s="7"/>
      <c r="I27" s="54"/>
      <c r="J27" s="7"/>
      <c r="K27" s="7"/>
    </row>
    <row r="28" spans="1:39" x14ac:dyDescent="0.25">
      <c r="A28" s="8" t="s">
        <v>67</v>
      </c>
      <c r="B28" s="7" t="s">
        <v>68</v>
      </c>
      <c r="C28" s="7" t="s">
        <v>69</v>
      </c>
      <c r="D28" s="7" t="s">
        <v>70</v>
      </c>
      <c r="E28" s="7" t="s">
        <v>69</v>
      </c>
      <c r="F28" s="7"/>
      <c r="G28" s="8" t="s">
        <v>102</v>
      </c>
      <c r="H28" s="7" t="s">
        <v>68</v>
      </c>
      <c r="I28" s="54" t="s">
        <v>69</v>
      </c>
      <c r="J28" s="7" t="s">
        <v>70</v>
      </c>
      <c r="K28" s="7" t="s">
        <v>69</v>
      </c>
      <c r="M28" s="37" t="s">
        <v>279</v>
      </c>
      <c r="S28" t="s">
        <v>153</v>
      </c>
    </row>
    <row r="29" spans="1:39" x14ac:dyDescent="0.25">
      <c r="A29" t="s">
        <v>71</v>
      </c>
      <c r="B29">
        <f>J11</f>
        <v>252</v>
      </c>
      <c r="C29" s="9">
        <f>B29/B29</f>
        <v>1</v>
      </c>
      <c r="D29">
        <v>64</v>
      </c>
      <c r="E29" s="9">
        <f>D29/D29</f>
        <v>1</v>
      </c>
      <c r="G29" t="s">
        <v>71</v>
      </c>
      <c r="H29">
        <f>J11</f>
        <v>252</v>
      </c>
      <c r="I29" s="28">
        <f t="shared" ref="I29:I39" si="17">H29/$H$29</f>
        <v>1</v>
      </c>
      <c r="J29">
        <v>64</v>
      </c>
      <c r="K29" s="9">
        <f>J29/J29</f>
        <v>1</v>
      </c>
      <c r="M29" t="s">
        <v>160</v>
      </c>
      <c r="N29" t="s">
        <v>182</v>
      </c>
      <c r="O29" t="s">
        <v>178</v>
      </c>
      <c r="P29" t="s">
        <v>39</v>
      </c>
      <c r="S29" t="s">
        <v>145</v>
      </c>
      <c r="T29" t="s">
        <v>146</v>
      </c>
      <c r="U29" t="s">
        <v>150</v>
      </c>
    </row>
    <row r="30" spans="1:39" x14ac:dyDescent="0.25">
      <c r="A30" t="s">
        <v>66</v>
      </c>
      <c r="B30">
        <f>B3+C3+B4</f>
        <v>1</v>
      </c>
      <c r="C30" s="11">
        <f t="shared" ref="C30:C39" si="18">B30/B$29</f>
        <v>3.968253968253968E-3</v>
      </c>
      <c r="D30">
        <v>3</v>
      </c>
      <c r="E30" s="9">
        <f>D30/D$29</f>
        <v>4.6875E-2</v>
      </c>
      <c r="G30" t="s">
        <v>116</v>
      </c>
      <c r="H30">
        <f>B3</f>
        <v>0</v>
      </c>
      <c r="I30" s="28">
        <f t="shared" si="17"/>
        <v>0</v>
      </c>
      <c r="J30">
        <v>1</v>
      </c>
      <c r="K30" s="9">
        <f t="shared" ref="K30:K39" si="19">J30/J$29</f>
        <v>1.5625E-2</v>
      </c>
      <c r="M30" t="s">
        <v>6</v>
      </c>
      <c r="N30" s="35">
        <f>'Version 3 (GI) students only'!B24</f>
        <v>2.3972602739726026E-2</v>
      </c>
      <c r="O30" s="35">
        <f>$B$24</f>
        <v>1.984126984126984E-2</v>
      </c>
      <c r="P30" s="35">
        <f t="shared" ref="P30:P37" si="20">ABS(N30-O30)</f>
        <v>4.1313328984561859E-3</v>
      </c>
      <c r="S30">
        <v>0.1</v>
      </c>
      <c r="T30">
        <v>1.22</v>
      </c>
      <c r="U30">
        <f>SQRT((S35+S36)/(S35*S36))</f>
        <v>0.1719640834883906</v>
      </c>
      <c r="V30">
        <f>PRODUCT(U30, T30)</f>
        <v>0.20979618185583651</v>
      </c>
    </row>
    <row r="31" spans="1:39" x14ac:dyDescent="0.25">
      <c r="A31" t="s">
        <v>72</v>
      </c>
      <c r="B31">
        <f>B3+B4+C3+C4+C5+D4+D5+D6+E5+E6+E7+F6</f>
        <v>138</v>
      </c>
      <c r="C31" s="11">
        <f t="shared" si="18"/>
        <v>0.54761904761904767</v>
      </c>
      <c r="D31">
        <v>12</v>
      </c>
      <c r="E31" s="9">
        <f t="shared" ref="E31:E39" si="21">D31/D$29</f>
        <v>0.1875</v>
      </c>
      <c r="G31" t="s">
        <v>117</v>
      </c>
      <c r="H31">
        <f>B3+C4+D5+E6</f>
        <v>53</v>
      </c>
      <c r="I31" s="28">
        <f t="shared" si="17"/>
        <v>0.21031746031746032</v>
      </c>
      <c r="J31">
        <v>4</v>
      </c>
      <c r="K31" s="9">
        <f t="shared" si="19"/>
        <v>6.25E-2</v>
      </c>
      <c r="M31" t="s">
        <v>7</v>
      </c>
      <c r="N31" s="35">
        <f>'Version 3 (GI) students only'!B24+'Version 3 (GI) students only'!C24</f>
        <v>8.5616438356164379E-2</v>
      </c>
      <c r="O31" s="35">
        <f>$B$24+$C$24</f>
        <v>7.1428571428571425E-2</v>
      </c>
      <c r="P31" s="35">
        <f t="shared" si="20"/>
        <v>1.4187866927592954E-2</v>
      </c>
      <c r="S31">
        <v>0.05</v>
      </c>
      <c r="T31">
        <v>1.36</v>
      </c>
      <c r="V31">
        <f>U30*T31</f>
        <v>0.23387115354421123</v>
      </c>
    </row>
    <row r="32" spans="1:39" x14ac:dyDescent="0.25">
      <c r="A32" t="s">
        <v>73</v>
      </c>
      <c r="B32">
        <f>SUM(B3:B7, C3:C7, D3:D7, E3:E7, F3:F6)</f>
        <v>169</v>
      </c>
      <c r="C32" s="11">
        <f t="shared" si="18"/>
        <v>0.67063492063492058</v>
      </c>
      <c r="D32">
        <v>24</v>
      </c>
      <c r="E32" s="9">
        <f t="shared" si="21"/>
        <v>0.375</v>
      </c>
      <c r="G32" t="s">
        <v>118</v>
      </c>
      <c r="H32">
        <f>SUM(B3:B6) + SUM(C3:C6) + SUM(D3:D6) + SUM(E3:E6)</f>
        <v>83</v>
      </c>
      <c r="I32" s="28">
        <f t="shared" si="17"/>
        <v>0.32936507936507936</v>
      </c>
      <c r="J32">
        <v>16</v>
      </c>
      <c r="K32" s="9">
        <f t="shared" si="19"/>
        <v>0.25</v>
      </c>
      <c r="M32" t="s">
        <v>8</v>
      </c>
      <c r="N32" s="35">
        <f>'Version 3 (GI) students only'!B24+'Version 3 (GI) students only'!C24+'Version 3 (GI) students only'!D24</f>
        <v>0.32191780821917809</v>
      </c>
      <c r="O32" s="35">
        <f>$B$24+$C$24+$D$24</f>
        <v>0.26190476190476186</v>
      </c>
      <c r="P32" s="35">
        <f t="shared" si="20"/>
        <v>6.001304631441623E-2</v>
      </c>
      <c r="S32">
        <v>0.01</v>
      </c>
      <c r="T32">
        <v>1.63</v>
      </c>
      <c r="V32">
        <f>U30*T32</f>
        <v>0.28030145608607665</v>
      </c>
    </row>
    <row r="33" spans="1:22" x14ac:dyDescent="0.25">
      <c r="A33" t="s">
        <v>74</v>
      </c>
      <c r="B33">
        <f>SUM(B3:B10, C3:C9, D3:D8, E3:E7, F3:F6, G3:G5, H3:H4, I3)</f>
        <v>206</v>
      </c>
      <c r="C33" s="11">
        <f t="shared" si="18"/>
        <v>0.81746031746031744</v>
      </c>
      <c r="D33">
        <v>36</v>
      </c>
      <c r="E33" s="9">
        <f t="shared" si="21"/>
        <v>0.5625</v>
      </c>
      <c r="G33" t="s">
        <v>119</v>
      </c>
      <c r="H33">
        <f>SUM(B3:B9)+SUM(C3:C8)+SUM(D3:D7)+SUM(E3:E6)+SUM(F3:F5)+SUM(G3:G4)+H3</f>
        <v>114</v>
      </c>
      <c r="I33" s="28">
        <f t="shared" si="17"/>
        <v>0.45238095238095238</v>
      </c>
      <c r="J33">
        <v>28</v>
      </c>
      <c r="K33" s="9">
        <f t="shared" si="19"/>
        <v>0.4375</v>
      </c>
      <c r="M33" t="s">
        <v>9</v>
      </c>
      <c r="N33" s="35">
        <f>'Version 3 (GI) students only'!B24+'Version 3 (GI) students only'!C24+'Version 3 (GI) students only'!D24+'Version 3 (GI) students only'!E24</f>
        <v>0.73630136986301364</v>
      </c>
      <c r="O33" s="35">
        <f>SUM($B$24:$E$24)</f>
        <v>0.67857142857142849</v>
      </c>
      <c r="P33" s="35">
        <f t="shared" si="20"/>
        <v>5.7729941291585152E-2</v>
      </c>
      <c r="R33" t="s">
        <v>295</v>
      </c>
      <c r="V33" s="35">
        <f>MAX(P38, P48, P65)</f>
        <v>0.11622091759078061</v>
      </c>
    </row>
    <row r="34" spans="1:22" x14ac:dyDescent="0.25">
      <c r="A34" t="s">
        <v>75</v>
      </c>
      <c r="B34">
        <f>SUM(B9:B10, C8:C10, D7:D9, E6:E8, F5:F7, G4:G6, H3:H5, I3:I4)</f>
        <v>180</v>
      </c>
      <c r="C34" s="11">
        <f t="shared" si="18"/>
        <v>0.7142857142857143</v>
      </c>
      <c r="D34">
        <v>22</v>
      </c>
      <c r="E34" s="9">
        <f t="shared" si="21"/>
        <v>0.34375</v>
      </c>
      <c r="G34" t="s">
        <v>269</v>
      </c>
      <c r="H34" s="72">
        <f>B10+C9+D8+E7+F6+G5+H4+I3+E6+F7</f>
        <v>140</v>
      </c>
      <c r="I34" s="52">
        <f t="shared" si="17"/>
        <v>0.55555555555555558</v>
      </c>
      <c r="J34">
        <v>10</v>
      </c>
      <c r="K34" s="9">
        <f t="shared" si="19"/>
        <v>0.15625</v>
      </c>
      <c r="M34" t="s">
        <v>10</v>
      </c>
      <c r="N34" s="35">
        <f>'Version 3 (GI) students only'!B24+'Version 3 (GI) students only'!C24+'Version 3 (GI) students only'!D24+'Version 3 (GI) students only'!E24+'Version 3 (GI) students only'!F24</f>
        <v>0.88356164383561642</v>
      </c>
      <c r="O34" s="35">
        <f>SUM($B$24:$F$24)</f>
        <v>0.84126984126984117</v>
      </c>
      <c r="P34" s="35">
        <f t="shared" si="20"/>
        <v>4.2291802565775249E-2</v>
      </c>
      <c r="S34" t="s">
        <v>147</v>
      </c>
    </row>
    <row r="35" spans="1:22" x14ac:dyDescent="0.25">
      <c r="A35" t="s">
        <v>76</v>
      </c>
      <c r="B35">
        <f>SUM(E6:E7, F6:F7)</f>
        <v>106</v>
      </c>
      <c r="C35" s="11">
        <f t="shared" si="18"/>
        <v>0.42063492063492064</v>
      </c>
      <c r="D35">
        <v>4</v>
      </c>
      <c r="E35" s="9">
        <f t="shared" si="21"/>
        <v>6.25E-2</v>
      </c>
      <c r="G35" t="s">
        <v>121</v>
      </c>
      <c r="H35">
        <f>E7+F6</f>
        <v>58</v>
      </c>
      <c r="I35" s="52">
        <f t="shared" si="17"/>
        <v>0.23015873015873015</v>
      </c>
      <c r="J35">
        <v>2</v>
      </c>
      <c r="K35" s="9">
        <f t="shared" si="19"/>
        <v>3.125E-2</v>
      </c>
      <c r="M35" t="s">
        <v>11</v>
      </c>
      <c r="N35" s="35">
        <f>'Version 3 (GI) students only'!B24+'Version 3 (GI) students only'!C24+'Version 3 (GI) students only'!D24+'Version 3 (GI) students only'!E24+'Version 3 (GI) students only'!F24+'Version 3 (GI) students only'!G24</f>
        <v>0.94178082191780821</v>
      </c>
      <c r="O35" s="35">
        <f>SUM($B$24:$G$24)</f>
        <v>0.96825396825396814</v>
      </c>
      <c r="P35" s="35">
        <f t="shared" si="20"/>
        <v>2.6473146336159936E-2</v>
      </c>
      <c r="R35" t="s">
        <v>183</v>
      </c>
      <c r="S35">
        <v>73</v>
      </c>
    </row>
    <row r="36" spans="1:22" x14ac:dyDescent="0.25">
      <c r="A36" t="s">
        <v>200</v>
      </c>
      <c r="B36">
        <f>I10</f>
        <v>0</v>
      </c>
      <c r="C36" s="11">
        <f t="shared" si="18"/>
        <v>0</v>
      </c>
      <c r="D36">
        <v>3</v>
      </c>
      <c r="E36" s="9">
        <f t="shared" si="21"/>
        <v>4.6875E-2</v>
      </c>
      <c r="G36" t="s">
        <v>198</v>
      </c>
      <c r="H36">
        <f>I10</f>
        <v>0</v>
      </c>
      <c r="I36" s="53">
        <f t="shared" si="17"/>
        <v>0</v>
      </c>
      <c r="J36">
        <v>1</v>
      </c>
      <c r="K36" s="9">
        <f t="shared" si="19"/>
        <v>1.5625E-2</v>
      </c>
      <c r="M36" t="s">
        <v>12</v>
      </c>
      <c r="N36" s="35">
        <f>'Version 3 (GI) students only'!B24+'Version 3 (GI) students only'!C24+'Version 3 (GI) students only'!D24+'Version 3 (GI) students only'!E24+'Version 3 (GI) students only'!F24+'Version 3 (GI) students only'!G24+'Version 3 (GI) students only'!H24</f>
        <v>0.97602739726027399</v>
      </c>
      <c r="O36" s="35">
        <f>SUM($B$24:$H$24)</f>
        <v>0.99603174603174593</v>
      </c>
      <c r="P36" s="35">
        <f t="shared" si="20"/>
        <v>2.0004348771471947E-2</v>
      </c>
      <c r="R36" t="s">
        <v>186</v>
      </c>
      <c r="S36">
        <v>63</v>
      </c>
    </row>
    <row r="37" spans="1:22" x14ac:dyDescent="0.25">
      <c r="A37" t="s">
        <v>134</v>
      </c>
      <c r="B37">
        <f>SUM(I9:I10,H8:H10, G7:G9, F6:F8,E7)</f>
        <v>81</v>
      </c>
      <c r="C37" s="11">
        <f t="shared" si="18"/>
        <v>0.32142857142857145</v>
      </c>
      <c r="D37">
        <v>12</v>
      </c>
      <c r="E37" s="9">
        <f t="shared" si="21"/>
        <v>0.1875</v>
      </c>
      <c r="G37" t="s">
        <v>1</v>
      </c>
      <c r="H37">
        <f>I10+H9+G8+F7</f>
        <v>13</v>
      </c>
      <c r="I37" s="53">
        <f t="shared" si="17"/>
        <v>5.1587301587301584E-2</v>
      </c>
      <c r="J37">
        <v>4</v>
      </c>
      <c r="K37" s="9">
        <f t="shared" si="19"/>
        <v>6.25E-2</v>
      </c>
      <c r="M37" t="s">
        <v>22</v>
      </c>
      <c r="N37" s="35">
        <f>'Version 3 (GI) students only'!B24+'Version 3 (GI) students only'!C24+'Version 3 (GI) students only'!D24+'Version 3 (GI) students only'!E24+'Version 3 (GI) students only'!F24+'Version 3 (GI) students only'!G24+'Version 3 (GI) students only'!H24+'Version 3 (GI) students only'!I24</f>
        <v>1</v>
      </c>
      <c r="O37" s="35">
        <f>SUM($B$24:$I$24)</f>
        <v>0.99999999999999989</v>
      </c>
      <c r="P37" s="35">
        <f t="shared" si="20"/>
        <v>1.1102230246251565E-16</v>
      </c>
    </row>
    <row r="38" spans="1:22" x14ac:dyDescent="0.25">
      <c r="A38" t="s">
        <v>135</v>
      </c>
      <c r="B38">
        <f>SUM(E10:I10, E9:I9, E8:I8, E7:I7, F6:I6)</f>
        <v>99</v>
      </c>
      <c r="C38" s="11">
        <f t="shared" si="18"/>
        <v>0.39285714285714285</v>
      </c>
      <c r="D38">
        <v>24</v>
      </c>
      <c r="E38" s="9">
        <f t="shared" si="21"/>
        <v>0.375</v>
      </c>
      <c r="G38" t="s">
        <v>137</v>
      </c>
      <c r="H38">
        <f>SUM(F10:I10, F9:I9, F8:I8, F7:I7)</f>
        <v>27</v>
      </c>
      <c r="I38" s="53">
        <f t="shared" si="17"/>
        <v>0.10714285714285714</v>
      </c>
      <c r="J38">
        <v>16</v>
      </c>
      <c r="K38" s="9">
        <f t="shared" si="19"/>
        <v>0.25</v>
      </c>
      <c r="M38" t="s">
        <v>15</v>
      </c>
      <c r="P38" s="35">
        <f>MAX(P30:P37)</f>
        <v>6.001304631441623E-2</v>
      </c>
    </row>
    <row r="39" spans="1:22" x14ac:dyDescent="0.25">
      <c r="A39" t="s">
        <v>136</v>
      </c>
      <c r="B39">
        <f>SUM(B10:I10, C9:I9, D8:I8, E7:I7, F6:I6, G5:I5, H4:I4, I3)</f>
        <v>138</v>
      </c>
      <c r="C39" s="11">
        <f t="shared" si="18"/>
        <v>0.54761904761904767</v>
      </c>
      <c r="D39">
        <v>36</v>
      </c>
      <c r="E39" s="9">
        <f t="shared" si="21"/>
        <v>0.5625</v>
      </c>
      <c r="G39" t="s">
        <v>138</v>
      </c>
      <c r="H39">
        <f>SUM(C10:I10, D9:I9, E8:I8, F7:I7,G6:I6, H5:I5, I4)</f>
        <v>46</v>
      </c>
      <c r="I39" s="53">
        <f t="shared" si="17"/>
        <v>0.18253968253968253</v>
      </c>
      <c r="J39">
        <v>28</v>
      </c>
      <c r="K39" s="9">
        <f t="shared" si="19"/>
        <v>0.4375</v>
      </c>
      <c r="M39" t="s">
        <v>161</v>
      </c>
    </row>
    <row r="40" spans="1:22" x14ac:dyDescent="0.25">
      <c r="C40" s="11"/>
      <c r="E40" s="9"/>
      <c r="I40" s="28"/>
      <c r="K40" s="9"/>
      <c r="M40" t="s">
        <v>93</v>
      </c>
      <c r="N40" s="35">
        <f>'Version 3 (GI) students only'!$J$16</f>
        <v>8.9041095890410954E-2</v>
      </c>
      <c r="O40" s="35">
        <f>$J$16</f>
        <v>7.9365079365079361E-3</v>
      </c>
      <c r="P40" s="35">
        <f>ABS(N40-O40)</f>
        <v>8.1104587953903018E-2</v>
      </c>
    </row>
    <row r="41" spans="1:22" x14ac:dyDescent="0.25">
      <c r="A41" t="s">
        <v>124</v>
      </c>
      <c r="B41">
        <f>B29-B35</f>
        <v>146</v>
      </c>
      <c r="C41" s="11">
        <v>1</v>
      </c>
      <c r="D41">
        <v>60</v>
      </c>
      <c r="E41" s="9">
        <v>1</v>
      </c>
      <c r="G41" t="s">
        <v>125</v>
      </c>
      <c r="H41">
        <f>H29-H35</f>
        <v>194</v>
      </c>
      <c r="I41" s="28">
        <v>1</v>
      </c>
      <c r="J41">
        <v>62</v>
      </c>
      <c r="K41" s="9">
        <v>1</v>
      </c>
      <c r="M41" t="s">
        <v>16</v>
      </c>
      <c r="N41" s="35">
        <f>'Version 3 (GI) students only'!$J$17+N40</f>
        <v>0.1678082191780822</v>
      </c>
      <c r="O41" s="35">
        <f>SUM($J$16:$J$17)</f>
        <v>5.1587301587301584E-2</v>
      </c>
      <c r="P41" s="35">
        <f t="shared" ref="P41:P47" si="22">ABS(N41-O41)</f>
        <v>0.11622091759078061</v>
      </c>
    </row>
    <row r="42" spans="1:22" x14ac:dyDescent="0.25">
      <c r="A42" t="s">
        <v>80</v>
      </c>
      <c r="B42">
        <f>B34-B35</f>
        <v>74</v>
      </c>
      <c r="C42" s="11">
        <f>B42/B$41</f>
        <v>0.50684931506849318</v>
      </c>
      <c r="D42">
        <v>18</v>
      </c>
      <c r="E42" s="9">
        <f>D42/D$41</f>
        <v>0.3</v>
      </c>
      <c r="G42" t="s">
        <v>122</v>
      </c>
      <c r="H42">
        <f>H34-E7-F6</f>
        <v>82</v>
      </c>
      <c r="I42" s="28">
        <f>H42/$H$41</f>
        <v>0.42268041237113402</v>
      </c>
      <c r="J42">
        <v>6</v>
      </c>
      <c r="K42" s="9">
        <f>J42/J$41</f>
        <v>9.6774193548387094E-2</v>
      </c>
      <c r="M42" t="s">
        <v>17</v>
      </c>
      <c r="N42" s="35">
        <f>'Version 3 (GI) students only'!$J$18+N41</f>
        <v>0.29794520547945202</v>
      </c>
      <c r="O42" s="35">
        <f>SUM($J$16:$J$18)</f>
        <v>0.26587301587301582</v>
      </c>
      <c r="P42" s="35">
        <f t="shared" si="22"/>
        <v>3.2072189606436208E-2</v>
      </c>
    </row>
    <row r="43" spans="1:22" x14ac:dyDescent="0.25">
      <c r="C43" s="10"/>
      <c r="E43" s="9"/>
      <c r="M43" t="s">
        <v>18</v>
      </c>
      <c r="N43" s="35">
        <f>'Version 3 (GI) students only'!$J$19+N42</f>
        <v>0.47945205479452047</v>
      </c>
      <c r="O43" s="35">
        <f>SUM($J$16:$J$19)</f>
        <v>0.5436507936507935</v>
      </c>
      <c r="P43" s="35">
        <f t="shared" si="22"/>
        <v>6.419873885627303E-2</v>
      </c>
    </row>
    <row r="44" spans="1:22" x14ac:dyDescent="0.25">
      <c r="A44" t="s">
        <v>81</v>
      </c>
      <c r="B44">
        <f>B29-B34</f>
        <v>72</v>
      </c>
      <c r="C44" s="10">
        <f t="shared" ref="C44:C52" si="23">B44/B$44</f>
        <v>1</v>
      </c>
      <c r="D44">
        <v>42</v>
      </c>
      <c r="E44" s="9">
        <f t="shared" ref="E44:E52" si="24">D44/D$44</f>
        <v>1</v>
      </c>
      <c r="G44" t="s">
        <v>129</v>
      </c>
      <c r="H44">
        <f>H29-H34</f>
        <v>112</v>
      </c>
      <c r="I44" s="55">
        <f>H44/H$44</f>
        <v>1</v>
      </c>
      <c r="J44">
        <f>J29-J34</f>
        <v>54</v>
      </c>
      <c r="K44" s="9">
        <f t="shared" ref="K44:K52" si="25">J44/J$44</f>
        <v>1</v>
      </c>
      <c r="M44" t="s">
        <v>19</v>
      </c>
      <c r="N44" s="35">
        <f>'Version 3 (GI) students only'!$J$20+N43</f>
        <v>0.78082191780821919</v>
      </c>
      <c r="O44" s="35">
        <f>SUM($J$16:$J$20)</f>
        <v>0.83333333333333315</v>
      </c>
      <c r="P44" s="35">
        <f t="shared" si="22"/>
        <v>5.2511415525113958E-2</v>
      </c>
    </row>
    <row r="45" spans="1:22" x14ac:dyDescent="0.25">
      <c r="A45" t="s">
        <v>82</v>
      </c>
      <c r="B45">
        <f>B30</f>
        <v>1</v>
      </c>
      <c r="C45" s="11">
        <f t="shared" si="23"/>
        <v>1.3888888888888888E-2</v>
      </c>
      <c r="D45">
        <v>3</v>
      </c>
      <c r="E45" s="9">
        <f t="shared" si="24"/>
        <v>7.1428571428571425E-2</v>
      </c>
      <c r="G45" t="s">
        <v>130</v>
      </c>
      <c r="H45">
        <f>H30</f>
        <v>0</v>
      </c>
      <c r="I45" s="55">
        <f>H45/H$44</f>
        <v>0</v>
      </c>
      <c r="J45">
        <v>1</v>
      </c>
      <c r="K45" s="9">
        <f t="shared" si="25"/>
        <v>1.8518518518518517E-2</v>
      </c>
      <c r="M45" t="s">
        <v>20</v>
      </c>
      <c r="N45" s="35">
        <f>'Version 3 (GI) students only'!$J$21+N44</f>
        <v>0.9178082191780822</v>
      </c>
      <c r="O45" s="35">
        <f>SUM($J$16:$J$21)</f>
        <v>0.94047619047619024</v>
      </c>
      <c r="P45" s="35">
        <f t="shared" si="22"/>
        <v>2.2667971298108047E-2</v>
      </c>
    </row>
    <row r="46" spans="1:22" x14ac:dyDescent="0.25">
      <c r="A46" t="s">
        <v>77</v>
      </c>
      <c r="B46">
        <f>B31-(SUM(E6:E7,F6))</f>
        <v>40</v>
      </c>
      <c r="C46" s="11">
        <f t="shared" si="23"/>
        <v>0.55555555555555558</v>
      </c>
      <c r="D46">
        <v>9</v>
      </c>
      <c r="E46" s="9">
        <f t="shared" si="24"/>
        <v>0.21428571428571427</v>
      </c>
      <c r="G46" t="s">
        <v>131</v>
      </c>
      <c r="H46">
        <f>H31</f>
        <v>53</v>
      </c>
      <c r="I46" s="55">
        <f>H46/H$44</f>
        <v>0.4732142857142857</v>
      </c>
      <c r="J46">
        <v>4</v>
      </c>
      <c r="K46" s="9">
        <f t="shared" si="25"/>
        <v>7.407407407407407E-2</v>
      </c>
      <c r="M46" t="s">
        <v>21</v>
      </c>
      <c r="N46" s="35">
        <f>'Version 3 (GI) students only'!$J$22+N45</f>
        <v>0.97602739726027399</v>
      </c>
      <c r="O46" s="35">
        <f>SUM($J$16:$J$22)</f>
        <v>0.99206349206349187</v>
      </c>
      <c r="P46" s="35">
        <f t="shared" si="22"/>
        <v>1.6036094803217882E-2</v>
      </c>
    </row>
    <row r="47" spans="1:22" x14ac:dyDescent="0.25">
      <c r="A47" t="s">
        <v>78</v>
      </c>
      <c r="B47">
        <f>$B$32-SUM($D$7, $E$6:E$7, $F$5:$F$6)</f>
        <v>51</v>
      </c>
      <c r="C47" s="11">
        <f t="shared" si="23"/>
        <v>0.70833333333333337</v>
      </c>
      <c r="D47">
        <v>19</v>
      </c>
      <c r="E47" s="9">
        <f t="shared" si="24"/>
        <v>0.45238095238095238</v>
      </c>
      <c r="G47" t="s">
        <v>132</v>
      </c>
      <c r="H47">
        <f>H32</f>
        <v>83</v>
      </c>
      <c r="I47" s="55">
        <f t="shared" ref="I47:I52" si="26">H47/H$44</f>
        <v>0.7410714285714286</v>
      </c>
      <c r="J47">
        <v>16</v>
      </c>
      <c r="K47" s="9">
        <f t="shared" si="25"/>
        <v>0.29629629629629628</v>
      </c>
      <c r="M47" t="s">
        <v>23</v>
      </c>
      <c r="N47" s="35">
        <f>'Version 3 (GI) students only'!$J$23+N46</f>
        <v>1</v>
      </c>
      <c r="O47" s="35">
        <f>SUM($J$16:$J$23)</f>
        <v>0.99999999999999978</v>
      </c>
      <c r="P47" s="35">
        <f t="shared" si="22"/>
        <v>2.2204460492503131E-16</v>
      </c>
    </row>
    <row r="48" spans="1:22" x14ac:dyDescent="0.25">
      <c r="A48" t="s">
        <v>79</v>
      </c>
      <c r="B48">
        <f>B$33-SUM(B$9:B$10, C$8:C$9, D$7:D$8, E$6:E$7, F$5:F$6, G$4:G$5, H$3:H$4, I$3)</f>
        <v>51</v>
      </c>
      <c r="C48" s="11">
        <f t="shared" si="23"/>
        <v>0.70833333333333337</v>
      </c>
      <c r="D48">
        <v>21</v>
      </c>
      <c r="E48" s="9">
        <f t="shared" si="24"/>
        <v>0.5</v>
      </c>
      <c r="G48" t="s">
        <v>133</v>
      </c>
      <c r="H48">
        <f>H33</f>
        <v>114</v>
      </c>
      <c r="I48" s="55">
        <f t="shared" si="26"/>
        <v>1.0178571428571428</v>
      </c>
      <c r="J48">
        <v>28</v>
      </c>
      <c r="K48" s="9">
        <f t="shared" si="25"/>
        <v>0.51851851851851849</v>
      </c>
      <c r="M48" t="s">
        <v>15</v>
      </c>
      <c r="P48" s="35">
        <f>MAX(P40:P47)</f>
        <v>0.11622091759078061</v>
      </c>
      <c r="Q48" s="35"/>
    </row>
    <row r="49" spans="1:21" x14ac:dyDescent="0.25">
      <c r="A49" t="s">
        <v>201</v>
      </c>
      <c r="B49">
        <f>B36</f>
        <v>0</v>
      </c>
      <c r="C49" s="11">
        <f t="shared" si="23"/>
        <v>0</v>
      </c>
      <c r="D49">
        <v>3</v>
      </c>
      <c r="E49" s="9">
        <f t="shared" si="24"/>
        <v>7.1428571428571425E-2</v>
      </c>
      <c r="G49" t="s">
        <v>199</v>
      </c>
      <c r="H49">
        <v>0</v>
      </c>
      <c r="I49" s="55">
        <f t="shared" si="26"/>
        <v>0</v>
      </c>
      <c r="J49">
        <v>1</v>
      </c>
      <c r="K49" s="9">
        <f t="shared" si="25"/>
        <v>1.8518518518518517E-2</v>
      </c>
      <c r="M49" t="s">
        <v>162</v>
      </c>
    </row>
    <row r="50" spans="1:21" x14ac:dyDescent="0.25">
      <c r="A50" t="s">
        <v>139</v>
      </c>
      <c r="B50">
        <f>B37-SUM(F6:F7,E7)</f>
        <v>15</v>
      </c>
      <c r="C50" s="11">
        <f t="shared" si="23"/>
        <v>0.20833333333333334</v>
      </c>
      <c r="D50">
        <v>9</v>
      </c>
      <c r="E50" s="9">
        <f t="shared" si="24"/>
        <v>0.21428571428571427</v>
      </c>
      <c r="G50" t="s">
        <v>0</v>
      </c>
      <c r="H50">
        <f>I10+H9+G8+F7</f>
        <v>13</v>
      </c>
      <c r="I50" s="55">
        <f t="shared" si="26"/>
        <v>0.11607142857142858</v>
      </c>
      <c r="J50">
        <v>4</v>
      </c>
      <c r="K50" s="9">
        <f t="shared" si="25"/>
        <v>7.407407407407407E-2</v>
      </c>
      <c r="M50" t="s">
        <v>24</v>
      </c>
      <c r="N50" s="35">
        <f>'Version 3 (GI) students only'!$B$16</f>
        <v>3.4246575342465752E-3</v>
      </c>
      <c r="O50" s="35">
        <f>$B$16</f>
        <v>0</v>
      </c>
      <c r="P50" s="35">
        <f>ABS(N50-O50)</f>
        <v>3.4246575342465752E-3</v>
      </c>
    </row>
    <row r="51" spans="1:21" x14ac:dyDescent="0.25">
      <c r="A51" t="s">
        <v>140</v>
      </c>
      <c r="B51">
        <f>SUM(E10:I10, E9:I9, F8:I8, G7:I7, H6:I6)</f>
        <v>19</v>
      </c>
      <c r="C51" s="11">
        <f t="shared" si="23"/>
        <v>0.2638888888888889</v>
      </c>
      <c r="D51">
        <v>19</v>
      </c>
      <c r="E51" s="9">
        <f t="shared" si="24"/>
        <v>0.45238095238095238</v>
      </c>
      <c r="G51" t="s">
        <v>143</v>
      </c>
      <c r="H51">
        <f>SUM(F7:I10)</f>
        <v>27</v>
      </c>
      <c r="I51" s="55">
        <f t="shared" si="26"/>
        <v>0.24107142857142858</v>
      </c>
      <c r="J51">
        <v>16</v>
      </c>
      <c r="K51" s="9">
        <f t="shared" si="25"/>
        <v>0.29629629629629628</v>
      </c>
      <c r="M51" t="s">
        <v>25</v>
      </c>
      <c r="N51" s="35">
        <f>N50+'Version 3 (GI) students only'!$B$17+'Version 3 (GI) students only'!$C$16</f>
        <v>1.3698630136986301E-2</v>
      </c>
      <c r="O51" s="35">
        <f>O50+B17+C16</f>
        <v>3.968253968253968E-3</v>
      </c>
      <c r="P51" s="35">
        <f t="shared" ref="P51:P64" si="27">ABS(N51-O51)</f>
        <v>9.7303761687323326E-3</v>
      </c>
      <c r="R51" s="41"/>
    </row>
    <row r="52" spans="1:21" x14ac:dyDescent="0.25">
      <c r="A52" t="s">
        <v>141</v>
      </c>
      <c r="B52">
        <f>SUM(D10:I10, E9:I9, F8:I8, G7:I7, H6:I6, I5)</f>
        <v>21</v>
      </c>
      <c r="C52" s="11">
        <f t="shared" si="23"/>
        <v>0.29166666666666669</v>
      </c>
      <c r="D52">
        <v>21</v>
      </c>
      <c r="E52" s="9">
        <f t="shared" si="24"/>
        <v>0.5</v>
      </c>
      <c r="G52" t="s">
        <v>144</v>
      </c>
      <c r="H52">
        <f>H39</f>
        <v>46</v>
      </c>
      <c r="I52" s="55">
        <f t="shared" si="26"/>
        <v>0.4107142857142857</v>
      </c>
      <c r="J52">
        <v>28</v>
      </c>
      <c r="K52" s="9">
        <f t="shared" si="25"/>
        <v>0.51851851851851849</v>
      </c>
      <c r="M52" t="s">
        <v>26</v>
      </c>
      <c r="N52" s="35">
        <f>N51+'Version 3 (GI) students only'!$B$18+'Version 3 (GI) students only'!$C$17+'Version 3 (GI) students only'!$D$16</f>
        <v>2.7397260273972601E-2</v>
      </c>
      <c r="O52" s="35">
        <f>O51+B18+C17+D16</f>
        <v>3.968253968253968E-3</v>
      </c>
      <c r="P52" s="35">
        <f t="shared" si="27"/>
        <v>2.3429006305718633E-2</v>
      </c>
      <c r="S52" s="35"/>
      <c r="T52" s="35"/>
      <c r="U52" s="35"/>
    </row>
    <row r="53" spans="1:21" x14ac:dyDescent="0.25">
      <c r="M53" t="s">
        <v>27</v>
      </c>
      <c r="N53" s="35">
        <f>N52+'Version 3 (GI) students only'!$B$19+'Version 3 (GI) students only'!$C$18+'Version 3 (GI) students only'!$D$17+'Version 3 (GI) students only'!$E$16</f>
        <v>6.8493150684931503E-2</v>
      </c>
      <c r="O53" s="35">
        <f>O52+B19+C18+D17+E16</f>
        <v>3.1746031746031744E-2</v>
      </c>
      <c r="P53" s="35">
        <f t="shared" si="27"/>
        <v>3.6747118938899759E-2</v>
      </c>
      <c r="S53" s="35"/>
      <c r="T53" s="35"/>
      <c r="U53" s="35"/>
    </row>
    <row r="54" spans="1:21" x14ac:dyDescent="0.25">
      <c r="A54" t="s">
        <v>196</v>
      </c>
      <c r="B54">
        <f>B29</f>
        <v>252</v>
      </c>
      <c r="C54" s="11">
        <v>1</v>
      </c>
      <c r="D54">
        <v>64</v>
      </c>
      <c r="E54">
        <v>100</v>
      </c>
      <c r="G54" t="s">
        <v>197</v>
      </c>
      <c r="H54">
        <v>324</v>
      </c>
      <c r="I54" s="10">
        <v>1</v>
      </c>
      <c r="J54">
        <v>64</v>
      </c>
      <c r="K54" s="11">
        <v>1</v>
      </c>
      <c r="M54" t="s">
        <v>28</v>
      </c>
      <c r="N54" s="35">
        <f>N53+'Version 3 (GI) students only'!$B$20+'Version 3 (GI) students only'!$C$19+'Version 3 (GI) students only'!$D$18+'Version 3 (GI) students only'!$E$17+'Version 3 (GI) students only'!$F$16</f>
        <v>0.1678082191780822</v>
      </c>
      <c r="O54" s="35">
        <f>O53+B20+C19+D18+E17+F16</f>
        <v>0.10317460317460317</v>
      </c>
      <c r="P54" s="35">
        <f t="shared" si="27"/>
        <v>6.4633616003479027E-2</v>
      </c>
      <c r="S54" s="35"/>
      <c r="T54" s="35"/>
      <c r="U54" s="35"/>
    </row>
    <row r="55" spans="1:21" x14ac:dyDescent="0.25">
      <c r="A55" t="s">
        <v>142</v>
      </c>
      <c r="B55">
        <f>B46</f>
        <v>40</v>
      </c>
      <c r="C55" s="11">
        <f>B55/B$54</f>
        <v>0.15873015873015872</v>
      </c>
      <c r="D55">
        <f>D46</f>
        <v>9</v>
      </c>
      <c r="E55" s="9">
        <f>D55/D$54</f>
        <v>0.140625</v>
      </c>
      <c r="G55" t="s">
        <v>131</v>
      </c>
      <c r="H55">
        <f>H46</f>
        <v>53</v>
      </c>
      <c r="I55" s="55">
        <f>H55/H$54</f>
        <v>0.16358024691358025</v>
      </c>
      <c r="J55">
        <f>J46</f>
        <v>4</v>
      </c>
      <c r="K55" s="9">
        <f>J55/J$54</f>
        <v>6.25E-2</v>
      </c>
      <c r="M55" t="s">
        <v>29</v>
      </c>
      <c r="N55" s="35">
        <f>N54+'Version 3 (GI) students only'!$B$21+'Version 3 (GI) students only'!$C$20+'Version 3 (GI) students only'!$D$19+'Version 3 (GI) students only'!$E$18+'Version 3 (GI) students only'!$F$17+'Version 3 (GI) students only'!$G$16</f>
        <v>0.28767123287671237</v>
      </c>
      <c r="O55" s="35">
        <f>O54+B21+C20+D19+E18+F17+G16</f>
        <v>0.20238095238095238</v>
      </c>
      <c r="P55" s="35">
        <f t="shared" si="27"/>
        <v>8.5290280495759985E-2</v>
      </c>
      <c r="S55" s="35"/>
      <c r="T55" s="35"/>
      <c r="U55" s="35"/>
    </row>
    <row r="56" spans="1:21" x14ac:dyDescent="0.25">
      <c r="A56" t="s">
        <v>78</v>
      </c>
      <c r="B56">
        <f t="shared" ref="B56:B61" si="28">B47</f>
        <v>51</v>
      </c>
      <c r="C56" s="11">
        <f t="shared" ref="C56:C61" si="29">B56/B$54</f>
        <v>0.20238095238095238</v>
      </c>
      <c r="D56">
        <f t="shared" ref="D56:D61" si="30">D47</f>
        <v>19</v>
      </c>
      <c r="E56" s="9">
        <f t="shared" ref="E56:E61" si="31">D56/D$54</f>
        <v>0.296875</v>
      </c>
      <c r="G56" t="s">
        <v>132</v>
      </c>
      <c r="H56">
        <f t="shared" ref="H56:H61" si="32">H47</f>
        <v>83</v>
      </c>
      <c r="I56" s="55">
        <f t="shared" ref="I56:I61" si="33">H56/H$54</f>
        <v>0.25617283950617287</v>
      </c>
      <c r="J56">
        <f t="shared" ref="J56:J61" si="34">J47</f>
        <v>16</v>
      </c>
      <c r="K56" s="9">
        <f t="shared" ref="K56:K61" si="35">J56/J$54</f>
        <v>0.25</v>
      </c>
      <c r="M56" t="s">
        <v>30</v>
      </c>
      <c r="N56" s="35">
        <f>N55+'Version 3 (GI) students only'!$B$22+'Version 3 (GI) students only'!$C$21+'Version 3 (GI) students only'!$D$20+'Version 3 (GI) students only'!$E$19+'Version 3 (GI) students only'!$F$18+'Version 3 (GI) students only'!$G$17+'Version 3 (GI) students only'!$H$16</f>
        <v>0.42465753424657549</v>
      </c>
      <c r="O56" s="35">
        <f>O55+B22+C21+D20+E19+F18+G17+H16</f>
        <v>0.45238095238095233</v>
      </c>
      <c r="P56" s="35">
        <f t="shared" si="27"/>
        <v>2.7723418134376843E-2</v>
      </c>
      <c r="S56" s="35"/>
      <c r="T56" s="35"/>
      <c r="U56" s="35"/>
    </row>
    <row r="57" spans="1:21" x14ac:dyDescent="0.25">
      <c r="A57" t="s">
        <v>79</v>
      </c>
      <c r="B57">
        <f t="shared" si="28"/>
        <v>51</v>
      </c>
      <c r="C57" s="11">
        <f t="shared" si="29"/>
        <v>0.20238095238095238</v>
      </c>
      <c r="D57">
        <f t="shared" si="30"/>
        <v>21</v>
      </c>
      <c r="E57" s="9">
        <f t="shared" si="31"/>
        <v>0.328125</v>
      </c>
      <c r="G57" t="s">
        <v>133</v>
      </c>
      <c r="H57">
        <f t="shared" si="32"/>
        <v>114</v>
      </c>
      <c r="I57" s="55">
        <f t="shared" si="33"/>
        <v>0.35185185185185186</v>
      </c>
      <c r="J57">
        <f t="shared" si="34"/>
        <v>28</v>
      </c>
      <c r="K57" s="9">
        <f t="shared" si="35"/>
        <v>0.4375</v>
      </c>
      <c r="M57" t="s">
        <v>31</v>
      </c>
      <c r="N57" s="35">
        <f>N56+'Version 3 (GI) students only'!$B$23+'Version 3 (GI) students only'!$C$22+'Version 3 (GI) students only'!$D$21+'Version 3 (GI) students only'!$E$20+'Version 3 (GI) students only'!$F$19+'Version 3 (GI) students only'!$G$18+'Version 3 (GI) students only'!$H$17+'Version 3 (GI) students only'!$I$16</f>
        <v>0.79452054794520577</v>
      </c>
      <c r="O57" s="35">
        <f>O56+B23+C22+D21+E20+F19+G18+H17+I16</f>
        <v>0.81746031746031744</v>
      </c>
      <c r="P57" s="35">
        <f t="shared" si="27"/>
        <v>2.2939769515111674E-2</v>
      </c>
      <c r="S57" s="35"/>
      <c r="T57" s="35"/>
      <c r="U57" s="35"/>
    </row>
    <row r="58" spans="1:21" x14ac:dyDescent="0.25">
      <c r="A58" t="s">
        <v>201</v>
      </c>
      <c r="B58">
        <f t="shared" si="28"/>
        <v>0</v>
      </c>
      <c r="C58" s="11">
        <f t="shared" si="29"/>
        <v>0</v>
      </c>
      <c r="D58">
        <f t="shared" si="30"/>
        <v>3</v>
      </c>
      <c r="E58" s="9">
        <f t="shared" si="31"/>
        <v>4.6875E-2</v>
      </c>
      <c r="G58" t="s">
        <v>199</v>
      </c>
      <c r="H58">
        <f t="shared" si="32"/>
        <v>0</v>
      </c>
      <c r="I58" s="55">
        <f t="shared" si="33"/>
        <v>0</v>
      </c>
      <c r="J58">
        <f t="shared" si="34"/>
        <v>1</v>
      </c>
      <c r="K58" s="9">
        <f t="shared" si="35"/>
        <v>1.5625E-2</v>
      </c>
      <c r="M58" t="s">
        <v>32</v>
      </c>
      <c r="N58" s="35">
        <f>N57+'Version 3 (GI) students only'!$C$23+'Version 3 (GI) students only'!$D$22+'Version 3 (GI) students only'!$E$21+'Version 3 (GI) students only'!$F$20+'Version 3 (GI) students only'!$G$19+'Version 3 (GI) students only'!$H$18+'Version 3 (GI) students only'!$I$17</f>
        <v>0.91780821917808253</v>
      </c>
      <c r="O58" s="35">
        <f>O57+C23+D22+E21+F20+G19+H18+I17</f>
        <v>0.91666666666666663</v>
      </c>
      <c r="P58" s="35">
        <f t="shared" si="27"/>
        <v>1.1415525114158998E-3</v>
      </c>
      <c r="S58" s="35"/>
      <c r="T58" s="35"/>
      <c r="U58" s="35"/>
    </row>
    <row r="59" spans="1:21" x14ac:dyDescent="0.25">
      <c r="A59" t="s">
        <v>139</v>
      </c>
      <c r="B59">
        <f t="shared" si="28"/>
        <v>15</v>
      </c>
      <c r="C59" s="11">
        <f t="shared" si="29"/>
        <v>5.9523809523809521E-2</v>
      </c>
      <c r="D59">
        <f t="shared" si="30"/>
        <v>9</v>
      </c>
      <c r="E59" s="9">
        <f t="shared" si="31"/>
        <v>0.140625</v>
      </c>
      <c r="G59" t="s">
        <v>0</v>
      </c>
      <c r="H59">
        <f t="shared" si="32"/>
        <v>13</v>
      </c>
      <c r="I59" s="55">
        <f t="shared" si="33"/>
        <v>4.0123456790123455E-2</v>
      </c>
      <c r="J59">
        <f t="shared" si="34"/>
        <v>4</v>
      </c>
      <c r="K59" s="9">
        <f t="shared" si="35"/>
        <v>6.25E-2</v>
      </c>
      <c r="M59" t="s">
        <v>33</v>
      </c>
      <c r="N59" s="35">
        <f>N58+'Version 3 (GI) students only'!$D$23+'Version 3 (GI) students only'!$E$22+'Version 3 (GI) students only'!$F$21+'Version 3 (GI) students only'!$G$20+'Version 3 (GI) students only'!$H$19+'Version 3 (GI) students only'!$I$18</f>
        <v>0.97945205479452113</v>
      </c>
      <c r="O59" s="35">
        <f>O58+D23+E22+F21+G20+H19+I18</f>
        <v>0.95634920634920628</v>
      </c>
      <c r="P59" s="35">
        <f t="shared" si="27"/>
        <v>2.310284844531485E-2</v>
      </c>
      <c r="S59" s="35"/>
      <c r="T59" s="35"/>
      <c r="U59" s="35"/>
    </row>
    <row r="60" spans="1:21" x14ac:dyDescent="0.25">
      <c r="A60" t="s">
        <v>140</v>
      </c>
      <c r="B60">
        <f t="shared" si="28"/>
        <v>19</v>
      </c>
      <c r="C60" s="11">
        <f t="shared" si="29"/>
        <v>7.5396825396825393E-2</v>
      </c>
      <c r="D60">
        <f t="shared" si="30"/>
        <v>19</v>
      </c>
      <c r="E60" s="9">
        <f t="shared" si="31"/>
        <v>0.296875</v>
      </c>
      <c r="G60" t="s">
        <v>143</v>
      </c>
      <c r="H60">
        <f t="shared" si="32"/>
        <v>27</v>
      </c>
      <c r="I60" s="55">
        <f t="shared" si="33"/>
        <v>8.3333333333333329E-2</v>
      </c>
      <c r="J60">
        <f t="shared" si="34"/>
        <v>16</v>
      </c>
      <c r="K60" s="9">
        <f t="shared" si="35"/>
        <v>0.25</v>
      </c>
      <c r="M60" t="s">
        <v>34</v>
      </c>
      <c r="N60" s="35">
        <f>N59+'Version 3 (GI) students only'!$E$23+'Version 3 (GI) students only'!$F$22+'Version 3 (GI) students only'!$G$21+'Version 3 (GI) students only'!$H$20+'Version 3 (GI) students only'!$I$19</f>
        <v>0.99315068493150749</v>
      </c>
      <c r="O60" s="35">
        <f>O59+E23+F22+G21+H20+I19</f>
        <v>0.98809523809523792</v>
      </c>
      <c r="P60" s="35">
        <f t="shared" si="27"/>
        <v>5.0554468362695726E-3</v>
      </c>
      <c r="R60" s="35"/>
      <c r="S60" s="35"/>
      <c r="T60" s="35"/>
      <c r="U60" s="35"/>
    </row>
    <row r="61" spans="1:21" x14ac:dyDescent="0.25">
      <c r="A61" t="s">
        <v>141</v>
      </c>
      <c r="B61">
        <f t="shared" si="28"/>
        <v>21</v>
      </c>
      <c r="C61" s="11">
        <f t="shared" si="29"/>
        <v>8.3333333333333329E-2</v>
      </c>
      <c r="D61">
        <f t="shared" si="30"/>
        <v>21</v>
      </c>
      <c r="E61" s="9">
        <f t="shared" si="31"/>
        <v>0.328125</v>
      </c>
      <c r="G61" t="s">
        <v>144</v>
      </c>
      <c r="H61">
        <f t="shared" si="32"/>
        <v>46</v>
      </c>
      <c r="I61" s="55">
        <f t="shared" si="33"/>
        <v>0.1419753086419753</v>
      </c>
      <c r="J61">
        <f t="shared" si="34"/>
        <v>28</v>
      </c>
      <c r="K61" s="9">
        <f t="shared" si="35"/>
        <v>0.4375</v>
      </c>
      <c r="M61" t="s">
        <v>35</v>
      </c>
      <c r="N61" s="35">
        <f>N60+'Version 3 (GI) students only'!$F$23+'Version 3 (GI) students only'!$G$22+'Version 3 (GI) students only'!$H$21+'Version 3 (GI) students only'!$I$20</f>
        <v>1.0000000000000007</v>
      </c>
      <c r="O61" s="35">
        <f>O60+F23+G22+H21+I20</f>
        <v>0.99603174603174582</v>
      </c>
      <c r="P61" s="35">
        <f t="shared" si="27"/>
        <v>3.9682539682548423E-3</v>
      </c>
    </row>
    <row r="62" spans="1:21" x14ac:dyDescent="0.25">
      <c r="M62" t="s">
        <v>36</v>
      </c>
      <c r="N62" s="35">
        <f>N61+'Version 3 (GI) students only'!$G$23+'Version 3 (GI) students only'!$H$22+'Version 3 (GI) students only'!$I$21</f>
        <v>1.0000000000000007</v>
      </c>
      <c r="O62" s="35">
        <f>O61+G23+H22+I21</f>
        <v>0.99999999999999978</v>
      </c>
      <c r="P62" s="35">
        <f t="shared" si="27"/>
        <v>8.8817841970012523E-16</v>
      </c>
    </row>
    <row r="63" spans="1:21" x14ac:dyDescent="0.25">
      <c r="G63" s="8"/>
      <c r="H63" s="7" t="s">
        <v>68</v>
      </c>
      <c r="I63" s="54" t="s">
        <v>69</v>
      </c>
      <c r="J63" s="7" t="s">
        <v>70</v>
      </c>
      <c r="K63" s="7" t="s">
        <v>69</v>
      </c>
      <c r="M63" t="s">
        <v>37</v>
      </c>
      <c r="N63" s="35">
        <f>N62+'Version 3 (GI) students only'!$H$23+'Version 3 (GI) students only'!$I$22</f>
        <v>1.0000000000000007</v>
      </c>
      <c r="O63" s="35">
        <f>O62+H23+I22</f>
        <v>0.99999999999999978</v>
      </c>
      <c r="P63" s="35">
        <f t="shared" si="27"/>
        <v>8.8817841970012523E-16</v>
      </c>
    </row>
    <row r="64" spans="1:21" x14ac:dyDescent="0.25">
      <c r="G64" t="s">
        <v>197</v>
      </c>
      <c r="H64" s="36">
        <v>324</v>
      </c>
      <c r="I64" s="28">
        <v>1</v>
      </c>
      <c r="J64">
        <v>64</v>
      </c>
      <c r="K64" s="9">
        <v>1</v>
      </c>
      <c r="M64" t="s">
        <v>38</v>
      </c>
      <c r="N64" s="35">
        <f>N63+'Version 3 (GI) students only'!$I$23</f>
        <v>1.0000000000000007</v>
      </c>
      <c r="O64" s="35">
        <f>O63+I23</f>
        <v>0.99999999999999978</v>
      </c>
      <c r="P64" s="35">
        <f t="shared" si="27"/>
        <v>8.8817841970012523E-16</v>
      </c>
    </row>
    <row r="65" spans="7:16" x14ac:dyDescent="0.25">
      <c r="H65" s="36"/>
      <c r="K65" s="9"/>
      <c r="M65" t="s">
        <v>15</v>
      </c>
      <c r="N65" s="35"/>
      <c r="O65" s="35"/>
      <c r="P65" s="35">
        <f>MAX(P50:P64)</f>
        <v>8.5290280495759985E-2</v>
      </c>
    </row>
    <row r="66" spans="7:16" x14ac:dyDescent="0.25">
      <c r="H66" s="36"/>
      <c r="K66" s="9"/>
      <c r="M66" t="s">
        <v>163</v>
      </c>
    </row>
    <row r="67" spans="7:16" x14ac:dyDescent="0.25">
      <c r="G67" t="s">
        <v>251</v>
      </c>
      <c r="H67" s="36">
        <f>H32-E6</f>
        <v>43</v>
      </c>
      <c r="I67" s="10">
        <f>H67/H64</f>
        <v>0.13271604938271606</v>
      </c>
      <c r="J67">
        <v>15</v>
      </c>
      <c r="K67" s="9">
        <f>J67/J64</f>
        <v>0.234375</v>
      </c>
      <c r="M67" t="s">
        <v>40</v>
      </c>
      <c r="N67" s="35">
        <f>'Version 3 (GI) students only'!I16</f>
        <v>1.0273972602739725E-2</v>
      </c>
      <c r="O67" s="35">
        <f>I16</f>
        <v>0</v>
      </c>
      <c r="P67" s="35">
        <f>ABS(N67-O67)</f>
        <v>1.0273972602739725E-2</v>
      </c>
    </row>
    <row r="68" spans="7:16" x14ac:dyDescent="0.25">
      <c r="G68" t="s">
        <v>252</v>
      </c>
      <c r="H68" s="36">
        <f>H33-E6</f>
        <v>74</v>
      </c>
      <c r="I68" s="10">
        <f>H68/H64</f>
        <v>0.22839506172839505</v>
      </c>
      <c r="J68">
        <v>27</v>
      </c>
      <c r="K68" s="9">
        <f>J68/J64</f>
        <v>0.421875</v>
      </c>
      <c r="M68" t="s">
        <v>41</v>
      </c>
      <c r="N68" s="35">
        <f>N67+'Version 3 (GI) students only'!H16+'Version 3 (GI) students only'!I17</f>
        <v>2.0547945205479451E-2</v>
      </c>
      <c r="O68" s="35">
        <f>O67+I17+H16</f>
        <v>0</v>
      </c>
      <c r="P68" s="35">
        <f t="shared" ref="P68:P81" si="36">ABS(N68-O68)</f>
        <v>2.0547945205479451E-2</v>
      </c>
    </row>
    <row r="69" spans="7:16" x14ac:dyDescent="0.25">
      <c r="H69" s="36"/>
      <c r="K69" s="9"/>
      <c r="M69" t="s">
        <v>42</v>
      </c>
      <c r="N69" s="35">
        <f>N68+'Version 3 (GI) students only'!G16+'Version 3 (GI) students only'!H17+'Version 3 (GI) students only'!I18</f>
        <v>3.7671232876712327E-2</v>
      </c>
      <c r="O69" s="35">
        <f>O68+I18+H17+G16</f>
        <v>1.5873015873015872E-2</v>
      </c>
      <c r="P69" s="35">
        <f t="shared" si="36"/>
        <v>2.1798217003696455E-2</v>
      </c>
    </row>
    <row r="70" spans="7:16" x14ac:dyDescent="0.25">
      <c r="H70" s="36"/>
      <c r="K70" s="9"/>
      <c r="M70" t="s">
        <v>43</v>
      </c>
      <c r="N70" s="35">
        <f>N69+'Version 3 (GI) students only'!F16+'Version 3 (GI) students only'!G17+'Version 3 (GI) students only'!H18+'Version 3 (GI) students only'!I19</f>
        <v>7.1917808219178078E-2</v>
      </c>
      <c r="O70" s="35">
        <f>O69+I19+H18+G17+F16</f>
        <v>2.3809523809523808E-2</v>
      </c>
      <c r="P70" s="35">
        <f t="shared" si="36"/>
        <v>4.810828440965427E-2</v>
      </c>
    </row>
    <row r="71" spans="7:16" x14ac:dyDescent="0.25">
      <c r="H71" s="36"/>
      <c r="K71" s="9"/>
      <c r="M71" t="s">
        <v>44</v>
      </c>
      <c r="N71" s="35">
        <f>N70+'Version 3 (GI) students only'!E16+'Version 3 (GI) students only'!F17+'Version 3 (GI) students only'!G18+'Version 3 (GI) students only'!H19+'Version 3 (GI) students only'!I20</f>
        <v>0.13698630136986301</v>
      </c>
      <c r="O71" s="35">
        <f>O70+I20+H19+G18+F17+E16</f>
        <v>8.7301587301587297E-2</v>
      </c>
      <c r="P71" s="35">
        <f t="shared" si="36"/>
        <v>4.9684714068275709E-2</v>
      </c>
    </row>
    <row r="72" spans="7:16" x14ac:dyDescent="0.25">
      <c r="H72" s="36"/>
      <c r="K72" s="9"/>
      <c r="M72" t="s">
        <v>45</v>
      </c>
      <c r="N72" s="35">
        <f>N71+'Version 3 (GI) students only'!D16+'Version 3 (GI) students only'!E17+'Version 3 (GI) students only'!F18+'Version 3 (GI) students only'!G19+'Version 3 (GI) students only'!H20+'Version 3 (GI) students only'!I21</f>
        <v>0.19863013698630139</v>
      </c>
      <c r="O72" s="35">
        <f>O71+I21+H20+G19+F18+E17+D16</f>
        <v>0.15873015873015872</v>
      </c>
      <c r="P72" s="35">
        <f t="shared" si="36"/>
        <v>3.9899978256142665E-2</v>
      </c>
    </row>
    <row r="73" spans="7:16" x14ac:dyDescent="0.25">
      <c r="G73" t="s">
        <v>253</v>
      </c>
      <c r="H73" s="36">
        <f>H38-F7</f>
        <v>19</v>
      </c>
      <c r="I73" s="10">
        <f>H73/H64</f>
        <v>5.8641975308641972E-2</v>
      </c>
      <c r="J73">
        <v>15</v>
      </c>
      <c r="K73" s="9">
        <f>J73/J64</f>
        <v>0.234375</v>
      </c>
      <c r="M73" t="s">
        <v>46</v>
      </c>
      <c r="N73" s="35">
        <f>N72+'Version 3 (GI) students only'!C16+'Version 3 (GI) students only'!D17+'Version 3 (GI) students only'!E18+'Version 3 (GI) students only'!F19+'Version 3 (GI) students only'!G20+'Version 3 (GI) students only'!H21+'Version 3 (GI) students only'!I22</f>
        <v>0.35958904109589046</v>
      </c>
      <c r="O73" s="35">
        <f>O72+I22+H21+G20+F19+E18+D17+C16</f>
        <v>0.33333333333333331</v>
      </c>
      <c r="P73" s="35">
        <f t="shared" si="36"/>
        <v>2.6255707762557146E-2</v>
      </c>
    </row>
    <row r="74" spans="7:16" x14ac:dyDescent="0.25">
      <c r="G74" t="s">
        <v>254</v>
      </c>
      <c r="H74" s="36">
        <f>H39-F7</f>
        <v>38</v>
      </c>
      <c r="I74" s="10">
        <f>H74/H64</f>
        <v>0.11728395061728394</v>
      </c>
      <c r="J74">
        <v>27</v>
      </c>
      <c r="K74" s="9">
        <f>J74/J64</f>
        <v>0.421875</v>
      </c>
      <c r="M74" t="s">
        <v>47</v>
      </c>
      <c r="N74" s="35">
        <f>N73+'Version 3 (GI) students only'!B16+'Version 3 (GI) students only'!C17+'Version 3 (GI) students only'!D18+'Version 3 (GI) students only'!E19+'Version 3 (GI) students only'!F20+'Version 3 (GI) students only'!G21+'Version 3 (GI) students only'!H22+'Version 3 (GI) students only'!I23</f>
        <v>0.48630136986301375</v>
      </c>
      <c r="O74" s="35">
        <f>O73+I23+H22+G21+F20+E19+D18+C17+B16</f>
        <v>0.59523809523809523</v>
      </c>
      <c r="P74" s="35">
        <f t="shared" si="36"/>
        <v>0.10893672537508148</v>
      </c>
    </row>
    <row r="75" spans="7:16" x14ac:dyDescent="0.25">
      <c r="M75" t="s">
        <v>48</v>
      </c>
      <c r="N75" s="35">
        <f>N74+'Version 3 (GI) students only'!B17+'Version 3 (GI) students only'!C18+'Version 3 (GI) students only'!D19+'Version 3 (GI) students only'!E20+'Version 3 (GI) students only'!F21+'Version 3 (GI) students only'!G22+'Version 3 (GI) students only'!H23</f>
        <v>0.72260273972602751</v>
      </c>
      <c r="O75" s="35">
        <f>O74+H23+G22+F21+E20+D19+C18+B17</f>
        <v>0.79761904761904767</v>
      </c>
      <c r="P75" s="35">
        <f t="shared" si="36"/>
        <v>7.5016307893020162E-2</v>
      </c>
    </row>
    <row r="76" spans="7:16" x14ac:dyDescent="0.25">
      <c r="M76" t="s">
        <v>49</v>
      </c>
      <c r="N76" s="35">
        <f>N75+'Version 3 (GI) students only'!B18+'Version 3 (GI) students only'!C19+'Version 3 (GI) students only'!D20+'Version 3 (GI) students only'!E21+'Version 3 (GI) students only'!F22+'Version 3 (GI) students only'!G23</f>
        <v>0.84589041095890427</v>
      </c>
      <c r="O76" s="35">
        <f>O75+G23+F22+E21+D20+C19+B18</f>
        <v>0.88492063492063489</v>
      </c>
      <c r="P76" s="35">
        <f t="shared" si="36"/>
        <v>3.9030223961730615E-2</v>
      </c>
    </row>
    <row r="77" spans="7:16" x14ac:dyDescent="0.25">
      <c r="M77" t="s">
        <v>50</v>
      </c>
      <c r="N77" s="35">
        <f>N76+'Version 3 (GI) students only'!B19+'Version 3 (GI) students only'!C20+'Version 3 (GI) students only'!D21+'Version 3 (GI) students only'!E22+'Version 3 (GI) students only'!F23</f>
        <v>0.92465753424657549</v>
      </c>
      <c r="O77" s="35">
        <f>O76+F23+E22+D21+C20+B19</f>
        <v>0.94444444444444442</v>
      </c>
      <c r="P77" s="35">
        <f t="shared" si="36"/>
        <v>1.9786910197868934E-2</v>
      </c>
    </row>
    <row r="78" spans="7:16" x14ac:dyDescent="0.25">
      <c r="M78" t="s">
        <v>51</v>
      </c>
      <c r="N78" s="35">
        <f>N77+'Version 3 (GI) students only'!B20+'Version 3 (GI) students only'!C21+'Version 3 (GI) students only'!D22+'Version 3 (GI) students only'!E23</f>
        <v>0.95547945205479468</v>
      </c>
      <c r="O78" s="35">
        <f>O77+E23+D22+C21+B20</f>
        <v>0.96825396825396814</v>
      </c>
      <c r="P78" s="35">
        <f t="shared" si="36"/>
        <v>1.2774516199173469E-2</v>
      </c>
    </row>
    <row r="79" spans="7:16" x14ac:dyDescent="0.25">
      <c r="M79" t="s">
        <v>52</v>
      </c>
      <c r="N79" s="35">
        <f>N78+'Version 3 (GI) students only'!B21+'Version 3 (GI) students only'!C22+'Version 3 (GI) students only'!D23</f>
        <v>0.98287671232876728</v>
      </c>
      <c r="O79" s="35">
        <f>O78+D23+C22+B21</f>
        <v>0.99206349206349198</v>
      </c>
      <c r="P79" s="35">
        <f t="shared" si="36"/>
        <v>9.1867797347247038E-3</v>
      </c>
    </row>
    <row r="80" spans="7:16" x14ac:dyDescent="0.25">
      <c r="M80" t="s">
        <v>53</v>
      </c>
      <c r="N80" s="35">
        <f>N79+'Version 3 (GI) students only'!B22+'Version 3 (GI) students only'!C23</f>
        <v>0.98630136986301387</v>
      </c>
      <c r="O80" s="35">
        <f>O79+C23+B22</f>
        <v>0.99603174603174593</v>
      </c>
      <c r="P80" s="35">
        <f t="shared" si="36"/>
        <v>9.7303761687320689E-3</v>
      </c>
    </row>
    <row r="81" spans="13:23" customFormat="1" x14ac:dyDescent="0.25">
      <c r="M81" t="s">
        <v>54</v>
      </c>
      <c r="N81" s="35">
        <f>N80+'Version 3 (GI) students only'!B23</f>
        <v>1.0000000000000002</v>
      </c>
      <c r="O81" s="35">
        <f>O80+B23</f>
        <v>0.99999999999999989</v>
      </c>
      <c r="P81" s="35">
        <f t="shared" si="36"/>
        <v>3.3306690738754696E-16</v>
      </c>
    </row>
    <row r="82" spans="13:23" customFormat="1" x14ac:dyDescent="0.25">
      <c r="M82" t="s">
        <v>15</v>
      </c>
      <c r="P82" s="35">
        <f>MAX(P67:P81)</f>
        <v>0.10893672537508148</v>
      </c>
    </row>
    <row r="84" spans="13:23" customFormat="1" x14ac:dyDescent="0.25">
      <c r="M84" s="37" t="s">
        <v>280</v>
      </c>
      <c r="T84" t="s">
        <v>153</v>
      </c>
    </row>
    <row r="85" spans="13:23" customFormat="1" x14ac:dyDescent="0.25">
      <c r="M85" t="s">
        <v>160</v>
      </c>
      <c r="N85" t="s">
        <v>13</v>
      </c>
      <c r="O85" t="s">
        <v>178</v>
      </c>
      <c r="P85" t="s">
        <v>39</v>
      </c>
      <c r="T85" t="s">
        <v>145</v>
      </c>
      <c r="U85" t="s">
        <v>146</v>
      </c>
      <c r="V85" t="s">
        <v>150</v>
      </c>
    </row>
    <row r="86" spans="13:23" customFormat="1" x14ac:dyDescent="0.25">
      <c r="M86" t="s">
        <v>6</v>
      </c>
      <c r="N86" s="35">
        <f>'version 4 (LI) students only'!B24</f>
        <v>0</v>
      </c>
      <c r="O86" s="35">
        <f>$B$24</f>
        <v>1.984126984126984E-2</v>
      </c>
      <c r="P86" s="35">
        <f t="shared" ref="P86:P93" si="37">ABS(N86-O86)</f>
        <v>1.984126984126984E-2</v>
      </c>
      <c r="T86">
        <v>0.1</v>
      </c>
      <c r="U86">
        <v>1.22</v>
      </c>
      <c r="V86">
        <f>SQRT((T91+T92)/(T91*T92))</f>
        <v>0.17643771762079025</v>
      </c>
      <c r="W86">
        <f>PRODUCT(V86, U86)</f>
        <v>0.21525401549736409</v>
      </c>
    </row>
    <row r="87" spans="13:23" customFormat="1" x14ac:dyDescent="0.25">
      <c r="M87" t="s">
        <v>7</v>
      </c>
      <c r="N87" s="35">
        <f>'version 4 (LI) students only'!B24+'version 4 (LI) students only'!C24</f>
        <v>6.9444444444444448E-2</v>
      </c>
      <c r="O87" s="35">
        <f>$B$24+$C$24</f>
        <v>7.1428571428571425E-2</v>
      </c>
      <c r="P87" s="35">
        <f t="shared" si="37"/>
        <v>1.9841269841269771E-3</v>
      </c>
      <c r="T87">
        <v>0.05</v>
      </c>
      <c r="U87">
        <v>1.36</v>
      </c>
      <c r="W87">
        <f>V86*U87</f>
        <v>0.23995529596427476</v>
      </c>
    </row>
    <row r="88" spans="13:23" customFormat="1" x14ac:dyDescent="0.25">
      <c r="M88" t="s">
        <v>8</v>
      </c>
      <c r="N88" s="35">
        <f>'version 4 (LI) students only'!B24+'version 4 (LI) students only'!C24+'version 4 (LI) students only'!D24</f>
        <v>0.28472222222222221</v>
      </c>
      <c r="O88" s="35">
        <f>$B$24+$C$24+$D$24</f>
        <v>0.26190476190476186</v>
      </c>
      <c r="P88" s="35">
        <f t="shared" si="37"/>
        <v>2.2817460317460347E-2</v>
      </c>
      <c r="T88">
        <v>0.01</v>
      </c>
      <c r="U88">
        <v>1.63</v>
      </c>
      <c r="W88">
        <f>V86*U88</f>
        <v>0.28759347972188809</v>
      </c>
    </row>
    <row r="89" spans="13:23" customFormat="1" x14ac:dyDescent="0.25">
      <c r="M89" t="s">
        <v>9</v>
      </c>
      <c r="N89" s="35">
        <f>'version 4 (LI) students only'!B24+'version 4 (LI) students only'!C24+'version 4 (LI) students only'!D24+'version 4 (LI) students only'!E24</f>
        <v>0.71527777777777768</v>
      </c>
      <c r="O89" s="35">
        <f>SUM($B$24:$E$24)</f>
        <v>0.67857142857142849</v>
      </c>
      <c r="P89" s="35">
        <f t="shared" si="37"/>
        <v>3.6706349206349187E-2</v>
      </c>
      <c r="R89" t="s">
        <v>292</v>
      </c>
      <c r="V89" s="35">
        <f>MAX(P94, P104, P121)</f>
        <v>4.7123015873015706E-2</v>
      </c>
    </row>
    <row r="90" spans="13:23" customFormat="1" x14ac:dyDescent="0.25">
      <c r="M90" t="s">
        <v>10</v>
      </c>
      <c r="N90" s="35">
        <f>'version 4 (LI) students only'!B24+'version 4 (LI) students only'!C24+'version 4 (LI) students only'!D24+'version 4 (LI) students only'!E24+'version 4 (LI) students only'!F24</f>
        <v>0.87499999999999989</v>
      </c>
      <c r="O90" s="35">
        <f>SUM($B$24:$F$24)</f>
        <v>0.84126984126984117</v>
      </c>
      <c r="P90" s="35">
        <f t="shared" si="37"/>
        <v>3.3730158730158721E-2</v>
      </c>
      <c r="T90" t="s">
        <v>147</v>
      </c>
    </row>
    <row r="91" spans="13:23" customFormat="1" x14ac:dyDescent="0.25">
      <c r="M91" t="s">
        <v>11</v>
      </c>
      <c r="N91" s="35">
        <f>'version 4 (LI) students only'!B24+'version 4 (LI) students only'!C24+'version 4 (LI) students only'!D24+'version 4 (LI) students only'!E24+'version 4 (LI) students only'!F24+'version 4 (LI) students only'!G24</f>
        <v>0.94791666666666652</v>
      </c>
      <c r="O91" s="35">
        <f>SUM($B$24:$G$24)</f>
        <v>0.96825396825396814</v>
      </c>
      <c r="P91" s="35">
        <f t="shared" si="37"/>
        <v>2.0337301587301626E-2</v>
      </c>
      <c r="S91" t="s">
        <v>148</v>
      </c>
      <c r="T91">
        <v>72</v>
      </c>
    </row>
    <row r="92" spans="13:23" customFormat="1" x14ac:dyDescent="0.25">
      <c r="M92" t="s">
        <v>12</v>
      </c>
      <c r="N92" s="35">
        <f>'version 4 (LI) students only'!B24+'version 4 (LI) students only'!C24+'version 4 (LI) students only'!D24+'version 4 (LI) students only'!E24+'version 4 (LI) students only'!F24+'version 4 (LI) students only'!G24+'version 4 (LI) students only'!H24</f>
        <v>0.97569444444444431</v>
      </c>
      <c r="O92" s="35">
        <f>SUM($B$24:$H$24)</f>
        <v>0.99603174603174593</v>
      </c>
      <c r="P92" s="35">
        <f t="shared" si="37"/>
        <v>2.0337301587301626E-2</v>
      </c>
      <c r="S92" t="s">
        <v>186</v>
      </c>
      <c r="T92">
        <v>58</v>
      </c>
    </row>
    <row r="93" spans="13:23" customFormat="1" x14ac:dyDescent="0.25">
      <c r="M93" t="s">
        <v>22</v>
      </c>
      <c r="N93" s="35">
        <f>'version 4 (LI) students only'!B24+'version 4 (LI) students only'!C24+'version 4 (LI) students only'!D24+'version 4 (LI) students only'!E24+'version 4 (LI) students only'!F24+'version 4 (LI) students only'!G24+'version 4 (LI) students only'!H24+'version 4 (LI) students only'!I24</f>
        <v>0.99999999999999989</v>
      </c>
      <c r="O93" s="35">
        <f>SUM($B$24:$I$24)</f>
        <v>0.99999999999999989</v>
      </c>
      <c r="P93" s="35">
        <f t="shared" si="37"/>
        <v>0</v>
      </c>
    </row>
    <row r="94" spans="13:23" customFormat="1" x14ac:dyDescent="0.25">
      <c r="M94" t="s">
        <v>15</v>
      </c>
      <c r="P94" s="35">
        <f>MAX(P86:P93)</f>
        <v>3.6706349206349187E-2</v>
      </c>
    </row>
    <row r="95" spans="13:23" customFormat="1" x14ac:dyDescent="0.25">
      <c r="M95" t="s">
        <v>161</v>
      </c>
    </row>
    <row r="96" spans="13:23" customFormat="1" x14ac:dyDescent="0.25">
      <c r="M96" t="s">
        <v>93</v>
      </c>
      <c r="N96" s="35">
        <f>'version 4 (LI) students only'!$J$16</f>
        <v>4.5138888888888888E-2</v>
      </c>
      <c r="O96" s="35">
        <f>$J$16</f>
        <v>7.9365079365079361E-3</v>
      </c>
      <c r="P96" s="35">
        <f>ABS(N96-O96)</f>
        <v>3.7202380952380952E-2</v>
      </c>
    </row>
    <row r="97" spans="13:16" customFormat="1" x14ac:dyDescent="0.25">
      <c r="M97" t="s">
        <v>16</v>
      </c>
      <c r="N97" s="35">
        <f>'version 4 (LI) students only'!$J$17+N96</f>
        <v>7.6388888888888895E-2</v>
      </c>
      <c r="O97" s="35">
        <f>SUM($J$16:$J$17)</f>
        <v>5.1587301587301584E-2</v>
      </c>
      <c r="P97" s="35">
        <f t="shared" ref="P97:P103" si="38">ABS(N97-O97)</f>
        <v>2.4801587301587311E-2</v>
      </c>
    </row>
    <row r="98" spans="13:16" customFormat="1" x14ac:dyDescent="0.25">
      <c r="M98" t="s">
        <v>17</v>
      </c>
      <c r="N98" s="35">
        <f>'version 4 (LI) students only'!$J$18+N97</f>
        <v>0.26736111111111116</v>
      </c>
      <c r="O98" s="35">
        <f>SUM($J$16:$J$18)</f>
        <v>0.26587301587301582</v>
      </c>
      <c r="P98" s="35">
        <f t="shared" si="38"/>
        <v>1.4880952380953438E-3</v>
      </c>
    </row>
    <row r="99" spans="13:16" customFormat="1" x14ac:dyDescent="0.25">
      <c r="M99" t="s">
        <v>18</v>
      </c>
      <c r="N99" s="35">
        <f>'version 4 (LI) students only'!$J$19+N98</f>
        <v>0.49652777777777779</v>
      </c>
      <c r="O99" s="35">
        <f>SUM($J$16:$J$19)</f>
        <v>0.5436507936507935</v>
      </c>
      <c r="P99" s="35">
        <f t="shared" si="38"/>
        <v>4.7123015873015706E-2</v>
      </c>
    </row>
    <row r="100" spans="13:16" customFormat="1" x14ac:dyDescent="0.25">
      <c r="M100" t="s">
        <v>19</v>
      </c>
      <c r="N100" s="35">
        <f>'version 4 (LI) students only'!$J$20+N99</f>
        <v>0.81597222222222221</v>
      </c>
      <c r="O100" s="35">
        <f>SUM($J$16:$J$20)</f>
        <v>0.83333333333333315</v>
      </c>
      <c r="P100" s="35">
        <f t="shared" si="38"/>
        <v>1.7361111111110938E-2</v>
      </c>
    </row>
    <row r="101" spans="13:16" customFormat="1" x14ac:dyDescent="0.25">
      <c r="M101" t="s">
        <v>20</v>
      </c>
      <c r="N101" s="35">
        <f>'version 4 (LI) students only'!$J$21+N100</f>
        <v>0.91666666666666663</v>
      </c>
      <c r="O101" s="35">
        <f>SUM($J$16:$J$21)</f>
        <v>0.94047619047619024</v>
      </c>
      <c r="P101" s="35">
        <f t="shared" si="38"/>
        <v>2.3809523809523614E-2</v>
      </c>
    </row>
    <row r="102" spans="13:16" customFormat="1" x14ac:dyDescent="0.25">
      <c r="M102" t="s">
        <v>21</v>
      </c>
      <c r="N102" s="35">
        <f>'version 4 (LI) students only'!$J$22+N101</f>
        <v>0.98958333333333326</v>
      </c>
      <c r="O102" s="35">
        <f>SUM($J$16:$J$22)</f>
        <v>0.99206349206349187</v>
      </c>
      <c r="P102" s="35">
        <f t="shared" si="38"/>
        <v>2.4801587301586103E-3</v>
      </c>
    </row>
    <row r="103" spans="13:16" customFormat="1" x14ac:dyDescent="0.25">
      <c r="M103" t="s">
        <v>23</v>
      </c>
      <c r="N103" s="35">
        <f>'version 4 (LI) students only'!$J$23+N102</f>
        <v>0.99999999999999989</v>
      </c>
      <c r="O103" s="35">
        <f>SUM($J$16:$J$23)</f>
        <v>0.99999999999999978</v>
      </c>
      <c r="P103" s="35">
        <f t="shared" si="38"/>
        <v>1.1102230246251565E-16</v>
      </c>
    </row>
    <row r="104" spans="13:16" customFormat="1" x14ac:dyDescent="0.25">
      <c r="M104" t="s">
        <v>15</v>
      </c>
      <c r="P104" s="35">
        <f>MAX(P96:P103)</f>
        <v>4.7123015873015706E-2</v>
      </c>
    </row>
    <row r="105" spans="13:16" customFormat="1" x14ac:dyDescent="0.25">
      <c r="M105" t="s">
        <v>162</v>
      </c>
    </row>
    <row r="106" spans="13:16" customFormat="1" x14ac:dyDescent="0.25">
      <c r="M106" t="s">
        <v>24</v>
      </c>
      <c r="N106" s="35">
        <f>'version 4 (LI) students only'!$B$16</f>
        <v>0</v>
      </c>
      <c r="O106" s="35">
        <f>O50</f>
        <v>0</v>
      </c>
      <c r="P106" s="35">
        <f>ABS(N106-O106)</f>
        <v>0</v>
      </c>
    </row>
    <row r="107" spans="13:16" customFormat="1" x14ac:dyDescent="0.25">
      <c r="M107" t="s">
        <v>25</v>
      </c>
      <c r="N107" s="35">
        <f>N106+'version 4 (LI) students only'!$B$17+'version 4 (LI) students only'!$C$16</f>
        <v>3.472222222222222E-3</v>
      </c>
      <c r="O107" s="35">
        <f t="shared" ref="O107:O120" si="39">O51</f>
        <v>3.968253968253968E-3</v>
      </c>
      <c r="P107" s="35">
        <f t="shared" ref="P107:P120" si="40">ABS(N107-O107)</f>
        <v>4.96031746031746E-4</v>
      </c>
    </row>
    <row r="108" spans="13:16" customFormat="1" x14ac:dyDescent="0.25">
      <c r="M108" t="s">
        <v>26</v>
      </c>
      <c r="N108" s="35">
        <f>N107+'version 4 (LI) students only'!$B$18+'version 4 (LI) students only'!$C$17+'version 4 (LI) students only'!$D$16</f>
        <v>1.7361111111111112E-2</v>
      </c>
      <c r="O108" s="35">
        <f t="shared" si="39"/>
        <v>3.968253968253968E-3</v>
      </c>
      <c r="P108" s="35">
        <f t="shared" si="40"/>
        <v>1.3392857142857144E-2</v>
      </c>
    </row>
    <row r="109" spans="13:16" customFormat="1" x14ac:dyDescent="0.25">
      <c r="M109" t="s">
        <v>27</v>
      </c>
      <c r="N109" s="35">
        <f>N108+'version 4 (LI) students only'!$B$19+'version 4 (LI) students only'!$C$18+'version 4 (LI) students only'!$D$17+'version 4 (LI) students only'!$E$16</f>
        <v>3.125E-2</v>
      </c>
      <c r="O109" s="35">
        <f t="shared" si="39"/>
        <v>3.1746031746031744E-2</v>
      </c>
      <c r="P109" s="35">
        <f t="shared" si="40"/>
        <v>4.9603174603174427E-4</v>
      </c>
    </row>
    <row r="110" spans="13:16" customFormat="1" x14ac:dyDescent="0.25">
      <c r="M110" t="s">
        <v>28</v>
      </c>
      <c r="N110" s="35">
        <f>N109+'version 4 (LI) students only'!$B$20+'version 4 (LI) students only'!$C$19+'version 4 (LI) students only'!$D$18+'version 4 (LI) students only'!$E$17+'version 4 (LI) students only'!$F$16</f>
        <v>7.9861111111111119E-2</v>
      </c>
      <c r="O110" s="35">
        <f t="shared" si="39"/>
        <v>0.10317460317460317</v>
      </c>
      <c r="P110" s="35">
        <f t="shared" si="40"/>
        <v>2.331349206349205E-2</v>
      </c>
    </row>
    <row r="111" spans="13:16" customFormat="1" x14ac:dyDescent="0.25">
      <c r="M111" t="s">
        <v>29</v>
      </c>
      <c r="N111" s="35">
        <f>N110+'version 4 (LI) students only'!$B$21+'version 4 (LI) students only'!$C$20+'version 4 (LI) students only'!$D$19+'version 4 (LI) students only'!$E$18+'version 4 (LI) students only'!$F$17+'version 4 (LI) students only'!$G$16</f>
        <v>0.18055555555555552</v>
      </c>
      <c r="O111" s="35">
        <f t="shared" si="39"/>
        <v>0.20238095238095238</v>
      </c>
      <c r="P111" s="35">
        <f t="shared" si="40"/>
        <v>2.1825396825396859E-2</v>
      </c>
    </row>
    <row r="112" spans="13:16" customFormat="1" x14ac:dyDescent="0.25">
      <c r="M112" t="s">
        <v>30</v>
      </c>
      <c r="N112" s="35">
        <f>N111+'version 4 (LI) students only'!$B$22+'version 4 (LI) students only'!$C$21+'version 4 (LI) students only'!$D$20+'version 4 (LI) students only'!$E$19+'version 4 (LI) students only'!$F$18+'version 4 (LI) students only'!$G$17+'version 4 (LI) students only'!$H$16</f>
        <v>0.44791666666666663</v>
      </c>
      <c r="O112" s="35">
        <f t="shared" si="39"/>
        <v>0.45238095238095233</v>
      </c>
      <c r="P112" s="35">
        <f t="shared" si="40"/>
        <v>4.4642857142856984E-3</v>
      </c>
    </row>
    <row r="113" spans="13:16" customFormat="1" x14ac:dyDescent="0.25">
      <c r="M113" t="s">
        <v>31</v>
      </c>
      <c r="N113" s="35">
        <f>N112+'version 4 (LI) students only'!$B$23+'version 4 (LI) students only'!$C$22+'version 4 (LI) students only'!$D$21+'version 4 (LI) students only'!$E$20+'version 4 (LI) students only'!$F$19+'version 4 (LI) students only'!$G$18+'version 4 (LI) students only'!$H$17+'version 4 (LI) students only'!$I$16</f>
        <v>0.82291666666666674</v>
      </c>
      <c r="O113" s="35">
        <f t="shared" si="39"/>
        <v>0.81746031746031744</v>
      </c>
      <c r="P113" s="35">
        <f t="shared" si="40"/>
        <v>5.456349206349298E-3</v>
      </c>
    </row>
    <row r="114" spans="13:16" customFormat="1" x14ac:dyDescent="0.25">
      <c r="M114" t="s">
        <v>32</v>
      </c>
      <c r="N114" s="35">
        <f>N113+'version 4 (LI) students only'!$C$23+'version 4 (LI) students only'!$D$22+'version 4 (LI) students only'!$E$21+'version 4 (LI) students only'!$F$20+'version 4 (LI) students only'!$G$19+'version 4 (LI) students only'!$H$18+'version 4 (LI) students only'!$I$17</f>
        <v>0.94791666666666674</v>
      </c>
      <c r="O114" s="35">
        <f t="shared" si="39"/>
        <v>0.91666666666666663</v>
      </c>
      <c r="P114" s="35">
        <f t="shared" si="40"/>
        <v>3.1250000000000111E-2</v>
      </c>
    </row>
    <row r="115" spans="13:16" customFormat="1" x14ac:dyDescent="0.25">
      <c r="M115" t="s">
        <v>33</v>
      </c>
      <c r="N115" s="35">
        <f>N114+'version 4 (LI) students only'!$D$23+'version 4 (LI) students only'!$E$22+'version 4 (LI) students only'!$F$21+'version 4 (LI) students only'!$G$20+'version 4 (LI) students only'!$H$19+'version 4 (LI) students only'!$I$18</f>
        <v>0.97222222222222221</v>
      </c>
      <c r="O115" s="35">
        <f t="shared" si="39"/>
        <v>0.95634920634920628</v>
      </c>
      <c r="P115" s="35">
        <f t="shared" si="40"/>
        <v>1.5873015873015928E-2</v>
      </c>
    </row>
    <row r="116" spans="13:16" customFormat="1" x14ac:dyDescent="0.25">
      <c r="M116" t="s">
        <v>34</v>
      </c>
      <c r="N116" s="35">
        <f>N115+'version 4 (LI) students only'!$E$23+'version 4 (LI) students only'!$F$22+'version 4 (LI) students only'!$G$21+'version 4 (LI) students only'!$H$20+'version 4 (LI) students only'!$I$19</f>
        <v>0.98958333333333326</v>
      </c>
      <c r="O116" s="35">
        <f t="shared" si="39"/>
        <v>0.98809523809523792</v>
      </c>
      <c r="P116" s="35">
        <f t="shared" si="40"/>
        <v>1.4880952380953438E-3</v>
      </c>
    </row>
    <row r="117" spans="13:16" customFormat="1" x14ac:dyDescent="0.25">
      <c r="M117" t="s">
        <v>35</v>
      </c>
      <c r="N117" s="35">
        <f>N116+'version 4 (LI) students only'!$F$23+'version 4 (LI) students only'!$G$22+'version 4 (LI) students only'!$H$21+'version 4 (LI) students only'!$I$20</f>
        <v>0.99305555555555547</v>
      </c>
      <c r="O117" s="35">
        <f t="shared" si="39"/>
        <v>0.99603174603174582</v>
      </c>
      <c r="P117" s="35">
        <f t="shared" si="40"/>
        <v>2.9761904761903546E-3</v>
      </c>
    </row>
    <row r="118" spans="13:16" customFormat="1" x14ac:dyDescent="0.25">
      <c r="M118" t="s">
        <v>36</v>
      </c>
      <c r="N118" s="35">
        <f>N117+'version 4 (LI) students only'!$G$23+'version 4 (LI) students only'!$H$22+'version 4 (LI) students only'!$I$21</f>
        <v>0.99305555555555547</v>
      </c>
      <c r="O118" s="35">
        <f t="shared" si="39"/>
        <v>0.99999999999999978</v>
      </c>
      <c r="P118" s="35">
        <f t="shared" si="40"/>
        <v>6.9444444444443088E-3</v>
      </c>
    </row>
    <row r="119" spans="13:16" customFormat="1" x14ac:dyDescent="0.25">
      <c r="M119" t="s">
        <v>37</v>
      </c>
      <c r="N119" s="35">
        <f>N118+'version 4 (LI) students only'!$H$23+'version 4 (LI) students only'!$I$22</f>
        <v>0.99652777777777768</v>
      </c>
      <c r="O119" s="35">
        <f t="shared" si="39"/>
        <v>0.99999999999999978</v>
      </c>
      <c r="P119" s="35">
        <f t="shared" si="40"/>
        <v>3.4722222222220989E-3</v>
      </c>
    </row>
    <row r="120" spans="13:16" customFormat="1" x14ac:dyDescent="0.25">
      <c r="M120" t="s">
        <v>38</v>
      </c>
      <c r="N120" s="35">
        <f>N119+'version 4 (LI) students only'!$I$23</f>
        <v>0.99999999999999989</v>
      </c>
      <c r="O120" s="35">
        <f t="shared" si="39"/>
        <v>0.99999999999999978</v>
      </c>
      <c r="P120" s="35">
        <f t="shared" si="40"/>
        <v>1.1102230246251565E-16</v>
      </c>
    </row>
    <row r="121" spans="13:16" customFormat="1" x14ac:dyDescent="0.25">
      <c r="M121" t="s">
        <v>15</v>
      </c>
      <c r="N121" s="35"/>
      <c r="O121" s="35"/>
      <c r="P121" s="35">
        <f>MAX(P106:P120)</f>
        <v>3.1250000000000111E-2</v>
      </c>
    </row>
    <row r="122" spans="13:16" customFormat="1" x14ac:dyDescent="0.25">
      <c r="M122" t="s">
        <v>163</v>
      </c>
    </row>
    <row r="123" spans="13:16" customFormat="1" x14ac:dyDescent="0.25">
      <c r="M123" t="s">
        <v>40</v>
      </c>
      <c r="N123" s="35">
        <f>'Version 5 (LE)'!N67</f>
        <v>2.2222222222222223E-2</v>
      </c>
      <c r="O123" s="35">
        <f>O67</f>
        <v>0</v>
      </c>
      <c r="P123" s="35">
        <f>ABS(N123-O123)</f>
        <v>2.2222222222222223E-2</v>
      </c>
    </row>
    <row r="124" spans="13:16" customFormat="1" x14ac:dyDescent="0.25">
      <c r="M124" t="s">
        <v>41</v>
      </c>
      <c r="N124" s="35">
        <f>'Version 5 (LE)'!N68</f>
        <v>3.0555555555555558E-2</v>
      </c>
      <c r="O124" s="35">
        <f t="shared" ref="O124:O137" si="41">O68</f>
        <v>0</v>
      </c>
      <c r="P124" s="35">
        <f t="shared" ref="P124:P137" si="42">ABS(N124-O124)</f>
        <v>3.0555555555555558E-2</v>
      </c>
    </row>
    <row r="125" spans="13:16" customFormat="1" x14ac:dyDescent="0.25">
      <c r="M125" t="s">
        <v>42</v>
      </c>
      <c r="N125" s="35">
        <f>'Version 5 (LE)'!N69</f>
        <v>4.4444444444444446E-2</v>
      </c>
      <c r="O125" s="35">
        <f t="shared" si="41"/>
        <v>1.5873015873015872E-2</v>
      </c>
      <c r="P125" s="35">
        <f t="shared" si="42"/>
        <v>2.8571428571428574E-2</v>
      </c>
    </row>
    <row r="126" spans="13:16" customFormat="1" x14ac:dyDescent="0.25">
      <c r="M126" t="s">
        <v>43</v>
      </c>
      <c r="N126" s="35">
        <f>'Version 5 (LE)'!N70</f>
        <v>5.2777777777777778E-2</v>
      </c>
      <c r="O126" s="35">
        <f t="shared" si="41"/>
        <v>2.3809523809523808E-2</v>
      </c>
      <c r="P126" s="35">
        <f t="shared" si="42"/>
        <v>2.8968253968253969E-2</v>
      </c>
    </row>
    <row r="127" spans="13:16" customFormat="1" x14ac:dyDescent="0.25">
      <c r="M127" t="s">
        <v>44</v>
      </c>
      <c r="N127" s="35">
        <f>'Version 5 (LE)'!N71</f>
        <v>0.11944444444444444</v>
      </c>
      <c r="O127" s="35">
        <f t="shared" si="41"/>
        <v>8.7301587301587297E-2</v>
      </c>
      <c r="P127" s="35">
        <f t="shared" si="42"/>
        <v>3.214285714285714E-2</v>
      </c>
    </row>
    <row r="128" spans="13:16" customFormat="1" x14ac:dyDescent="0.25">
      <c r="M128" t="s">
        <v>45</v>
      </c>
      <c r="N128" s="35">
        <f>'Version 5 (LE)'!N72</f>
        <v>0.24444444444444444</v>
      </c>
      <c r="O128" s="35">
        <f t="shared" si="41"/>
        <v>0.15873015873015872</v>
      </c>
      <c r="P128" s="35">
        <f t="shared" si="42"/>
        <v>8.5714285714285715E-2</v>
      </c>
    </row>
    <row r="129" spans="13:23" customFormat="1" x14ac:dyDescent="0.25">
      <c r="M129" t="s">
        <v>46</v>
      </c>
      <c r="N129" s="35">
        <f>'Version 5 (LE)'!N73</f>
        <v>0.38055555555555559</v>
      </c>
      <c r="O129" s="35">
        <f t="shared" si="41"/>
        <v>0.33333333333333331</v>
      </c>
      <c r="P129" s="35">
        <f t="shared" si="42"/>
        <v>4.7222222222222276E-2</v>
      </c>
    </row>
    <row r="130" spans="13:23" customFormat="1" x14ac:dyDescent="0.25">
      <c r="M130" t="s">
        <v>47</v>
      </c>
      <c r="N130" s="35">
        <f>'Version 5 (LE)'!N74</f>
        <v>0.56944444444444442</v>
      </c>
      <c r="O130" s="35">
        <f t="shared" si="41"/>
        <v>0.59523809523809523</v>
      </c>
      <c r="P130" s="35">
        <f t="shared" si="42"/>
        <v>2.5793650793650813E-2</v>
      </c>
    </row>
    <row r="131" spans="13:23" customFormat="1" x14ac:dyDescent="0.25">
      <c r="M131" t="s">
        <v>48</v>
      </c>
      <c r="N131" s="35">
        <f>'Version 5 (LE)'!N75</f>
        <v>0.76111111111111107</v>
      </c>
      <c r="O131" s="35">
        <f t="shared" si="41"/>
        <v>0.79761904761904767</v>
      </c>
      <c r="P131" s="35">
        <f t="shared" si="42"/>
        <v>3.65079365079366E-2</v>
      </c>
    </row>
    <row r="132" spans="13:23" customFormat="1" x14ac:dyDescent="0.25">
      <c r="M132" t="s">
        <v>49</v>
      </c>
      <c r="N132" s="35">
        <f>'Version 5 (LE)'!N76</f>
        <v>0.85</v>
      </c>
      <c r="O132" s="35">
        <f t="shared" si="41"/>
        <v>0.88492063492063489</v>
      </c>
      <c r="P132" s="35">
        <f t="shared" si="42"/>
        <v>3.4920634920634908E-2</v>
      </c>
    </row>
    <row r="133" spans="13:23" customFormat="1" x14ac:dyDescent="0.25">
      <c r="M133" t="s">
        <v>50</v>
      </c>
      <c r="N133" s="35">
        <f>'Version 5 (LE)'!N77</f>
        <v>0.93055555555555547</v>
      </c>
      <c r="O133" s="35">
        <f t="shared" si="41"/>
        <v>0.94444444444444442</v>
      </c>
      <c r="P133" s="35">
        <f t="shared" si="42"/>
        <v>1.3888888888888951E-2</v>
      </c>
    </row>
    <row r="134" spans="13:23" customFormat="1" x14ac:dyDescent="0.25">
      <c r="M134" t="s">
        <v>51</v>
      </c>
      <c r="N134" s="35">
        <f>'Version 5 (LE)'!N78</f>
        <v>0.95833333333333326</v>
      </c>
      <c r="O134" s="35">
        <f t="shared" si="41"/>
        <v>0.96825396825396814</v>
      </c>
      <c r="P134" s="35">
        <f t="shared" si="42"/>
        <v>9.9206349206348854E-3</v>
      </c>
    </row>
    <row r="135" spans="13:23" customFormat="1" x14ac:dyDescent="0.25">
      <c r="M135" t="s">
        <v>52</v>
      </c>
      <c r="N135" s="35">
        <f>'Version 5 (LE)'!N79</f>
        <v>0.99166666666666659</v>
      </c>
      <c r="O135" s="35">
        <f t="shared" si="41"/>
        <v>0.99206349206349198</v>
      </c>
      <c r="P135" s="35">
        <f t="shared" si="42"/>
        <v>3.9682539682539542E-4</v>
      </c>
    </row>
    <row r="136" spans="13:23" customFormat="1" x14ac:dyDescent="0.25">
      <c r="M136" t="s">
        <v>53</v>
      </c>
      <c r="N136" s="35">
        <f>'Version 5 (LE)'!N80</f>
        <v>0.99722222222222212</v>
      </c>
      <c r="O136" s="35">
        <f t="shared" si="41"/>
        <v>0.99603174603174593</v>
      </c>
      <c r="P136" s="35">
        <f t="shared" si="42"/>
        <v>1.1904761904761862E-3</v>
      </c>
    </row>
    <row r="137" spans="13:23" customFormat="1" x14ac:dyDescent="0.25">
      <c r="M137" t="s">
        <v>54</v>
      </c>
      <c r="N137" s="35">
        <f>'Version 5 (LE)'!N81</f>
        <v>0.99999999999999989</v>
      </c>
      <c r="O137" s="35">
        <f t="shared" si="41"/>
        <v>0.99999999999999989</v>
      </c>
      <c r="P137" s="35">
        <f t="shared" si="42"/>
        <v>0</v>
      </c>
    </row>
    <row r="138" spans="13:23" customFormat="1" x14ac:dyDescent="0.25">
      <c r="M138" t="s">
        <v>15</v>
      </c>
      <c r="P138" s="35">
        <f>MAX(P123:P137)</f>
        <v>8.5714285714285715E-2</v>
      </c>
    </row>
    <row r="140" spans="13:23" customFormat="1" x14ac:dyDescent="0.25">
      <c r="M140" s="37" t="s">
        <v>281</v>
      </c>
      <c r="T140" t="s">
        <v>153</v>
      </c>
    </row>
    <row r="141" spans="13:23" customFormat="1" x14ac:dyDescent="0.25">
      <c r="M141" t="s">
        <v>160</v>
      </c>
      <c r="N141" t="s">
        <v>14</v>
      </c>
      <c r="O141" t="s">
        <v>178</v>
      </c>
      <c r="P141" t="s">
        <v>39</v>
      </c>
      <c r="T141" t="s">
        <v>145</v>
      </c>
      <c r="U141" t="s">
        <v>146</v>
      </c>
      <c r="V141" t="s">
        <v>150</v>
      </c>
    </row>
    <row r="142" spans="13:23" customFormat="1" x14ac:dyDescent="0.25">
      <c r="M142" t="s">
        <v>6</v>
      </c>
      <c r="N142" s="35">
        <f>'Version 5 (LE) students only'!O30</f>
        <v>9.0909090909090905E-3</v>
      </c>
      <c r="O142" s="35">
        <f>$B$24</f>
        <v>1.984126984126984E-2</v>
      </c>
      <c r="P142" s="35">
        <f t="shared" ref="P142:P149" si="43">ABS(N142-O142)</f>
        <v>1.075036075036075E-2</v>
      </c>
      <c r="T142">
        <v>0.1</v>
      </c>
      <c r="U142">
        <v>1.22</v>
      </c>
      <c r="V142">
        <f>SQRT((T147+T148)/(T147*T148))</f>
        <v>0.18821051376626921</v>
      </c>
      <c r="W142">
        <f>PRODUCT(V142, U142)</f>
        <v>0.22961682679484843</v>
      </c>
    </row>
    <row r="143" spans="13:23" customFormat="1" x14ac:dyDescent="0.25">
      <c r="M143" t="s">
        <v>7</v>
      </c>
      <c r="N143" s="35">
        <f>'Version 5 (LE) students only'!O31</f>
        <v>6.8181818181818191E-2</v>
      </c>
      <c r="O143" s="35">
        <f>$B$24+$C$24</f>
        <v>7.1428571428571425E-2</v>
      </c>
      <c r="P143" s="35">
        <f t="shared" si="43"/>
        <v>3.246753246753234E-3</v>
      </c>
      <c r="T143">
        <v>0.05</v>
      </c>
      <c r="U143">
        <v>1.36</v>
      </c>
      <c r="W143">
        <f>V142*U143</f>
        <v>0.25596629872212612</v>
      </c>
    </row>
    <row r="144" spans="13:23" customFormat="1" x14ac:dyDescent="0.25">
      <c r="M144" t="s">
        <v>8</v>
      </c>
      <c r="N144" s="35">
        <f>'Version 5 (LE) students only'!O32</f>
        <v>0.30909090909090908</v>
      </c>
      <c r="O144" s="35">
        <f>$B$24+$C$24+$D$24</f>
        <v>0.26190476190476186</v>
      </c>
      <c r="P144" s="35">
        <f t="shared" si="43"/>
        <v>4.718614718614722E-2</v>
      </c>
      <c r="T144">
        <v>0.01</v>
      </c>
      <c r="U144">
        <v>1.63</v>
      </c>
      <c r="W144">
        <f>V142*U144</f>
        <v>0.3067831374390188</v>
      </c>
    </row>
    <row r="145" spans="13:22" customFormat="1" x14ac:dyDescent="0.25">
      <c r="M145" t="s">
        <v>9</v>
      </c>
      <c r="N145" s="35">
        <f>'Version 5 (LE) students only'!O33</f>
        <v>0.61818181818181817</v>
      </c>
      <c r="O145" s="35">
        <f>SUM($B$24:$E$24)</f>
        <v>0.67857142857142849</v>
      </c>
      <c r="P145" s="35">
        <f t="shared" si="43"/>
        <v>6.0389610389610326E-2</v>
      </c>
      <c r="R145" t="s">
        <v>295</v>
      </c>
      <c r="V145" s="35">
        <f>MAX(P150, P160, P177)</f>
        <v>0.15685425685425691</v>
      </c>
    </row>
    <row r="146" spans="13:22" customFormat="1" x14ac:dyDescent="0.25">
      <c r="M146" t="s">
        <v>10</v>
      </c>
      <c r="N146" s="35">
        <f>'Version 5 (LE) students only'!O34</f>
        <v>0.78181818181818175</v>
      </c>
      <c r="O146" s="35">
        <f>SUM($B$24:$F$24)</f>
        <v>0.84126984126984117</v>
      </c>
      <c r="P146" s="35">
        <f t="shared" si="43"/>
        <v>5.9451659451659422E-2</v>
      </c>
      <c r="T146" t="s">
        <v>147</v>
      </c>
    </row>
    <row r="147" spans="13:22" customFormat="1" x14ac:dyDescent="0.25">
      <c r="M147" t="s">
        <v>11</v>
      </c>
      <c r="N147" s="35">
        <f>'Version 5 (LE) students only'!O35</f>
        <v>0.96818181818181814</v>
      </c>
      <c r="O147" s="35">
        <f>SUM($B$24:$G$24)</f>
        <v>0.96825396825396814</v>
      </c>
      <c r="P147" s="35">
        <f t="shared" si="43"/>
        <v>7.2150072150001243E-5</v>
      </c>
      <c r="S147" t="s">
        <v>149</v>
      </c>
      <c r="T147">
        <v>55</v>
      </c>
    </row>
    <row r="148" spans="13:22" customFormat="1" x14ac:dyDescent="0.25">
      <c r="M148" t="s">
        <v>12</v>
      </c>
      <c r="N148" s="35">
        <f>'Version 5 (LE) students only'!O36</f>
        <v>0.99545454545454537</v>
      </c>
      <c r="O148" s="35">
        <f>SUM($B$24:$H$24)</f>
        <v>0.99603174603174593</v>
      </c>
      <c r="P148" s="35">
        <f t="shared" si="43"/>
        <v>5.7720057720056506E-4</v>
      </c>
      <c r="S148" t="s">
        <v>186</v>
      </c>
      <c r="T148">
        <v>58</v>
      </c>
    </row>
    <row r="149" spans="13:22" customFormat="1" x14ac:dyDescent="0.25">
      <c r="M149" t="s">
        <v>22</v>
      </c>
      <c r="N149" s="35">
        <f>'Version 5 (LE) students only'!O37</f>
        <v>0.99999999999999989</v>
      </c>
      <c r="O149" s="35">
        <f>SUM($B$24:$I$24)</f>
        <v>0.99999999999999989</v>
      </c>
      <c r="P149" s="35">
        <f t="shared" si="43"/>
        <v>0</v>
      </c>
    </row>
    <row r="150" spans="13:22" customFormat="1" x14ac:dyDescent="0.25">
      <c r="M150" t="s">
        <v>15</v>
      </c>
      <c r="N150" s="35"/>
      <c r="P150" s="35">
        <f>MAX(P142:P149)</f>
        <v>6.0389610389610326E-2</v>
      </c>
    </row>
    <row r="151" spans="13:22" customFormat="1" x14ac:dyDescent="0.25">
      <c r="M151" t="s">
        <v>161</v>
      </c>
      <c r="N151" s="35"/>
    </row>
    <row r="152" spans="13:22" customFormat="1" x14ac:dyDescent="0.25">
      <c r="M152" t="s">
        <v>93</v>
      </c>
      <c r="N152" s="35">
        <f>'Version 5 (LE) students only'!O40</f>
        <v>9.5454545454545459E-2</v>
      </c>
      <c r="O152" s="35">
        <f>$J$16</f>
        <v>7.9365079365079361E-3</v>
      </c>
      <c r="P152" s="35">
        <f>ABS(N152-O152)</f>
        <v>8.7518037518037523E-2</v>
      </c>
    </row>
    <row r="153" spans="13:22" customFormat="1" x14ac:dyDescent="0.25">
      <c r="M153" t="s">
        <v>16</v>
      </c>
      <c r="N153" s="35">
        <f>'Version 5 (LE) students only'!O41</f>
        <v>0.16363636363636364</v>
      </c>
      <c r="O153" s="35">
        <f>SUM($J$16:$J$17)</f>
        <v>5.1587301587301584E-2</v>
      </c>
      <c r="P153" s="35">
        <f t="shared" ref="P153:P159" si="44">ABS(N153-O153)</f>
        <v>0.11204906204906205</v>
      </c>
    </row>
    <row r="154" spans="13:22" customFormat="1" x14ac:dyDescent="0.25">
      <c r="M154" t="s">
        <v>17</v>
      </c>
      <c r="N154" s="35">
        <f>'Version 5 (LE) students only'!O42</f>
        <v>0.42272727272727273</v>
      </c>
      <c r="O154" s="35">
        <f>SUM($J$16:$J$18)</f>
        <v>0.26587301587301582</v>
      </c>
      <c r="P154" s="35">
        <f t="shared" si="44"/>
        <v>0.15685425685425691</v>
      </c>
    </row>
    <row r="155" spans="13:22" customFormat="1" x14ac:dyDescent="0.25">
      <c r="M155" t="s">
        <v>18</v>
      </c>
      <c r="N155" s="35">
        <f>'Version 5 (LE) students only'!O43</f>
        <v>0.56363636363636371</v>
      </c>
      <c r="O155" s="35">
        <f>SUM($J$16:$J$19)</f>
        <v>0.5436507936507935</v>
      </c>
      <c r="P155" s="35">
        <f t="shared" si="44"/>
        <v>1.9985569985570217E-2</v>
      </c>
    </row>
    <row r="156" spans="13:22" customFormat="1" x14ac:dyDescent="0.25">
      <c r="M156" t="s">
        <v>19</v>
      </c>
      <c r="N156" s="35">
        <f>'Version 5 (LE) students only'!O44</f>
        <v>0.81818181818181823</v>
      </c>
      <c r="O156" s="35">
        <f>SUM($J$16:$J$20)</f>
        <v>0.83333333333333315</v>
      </c>
      <c r="P156" s="35">
        <f t="shared" si="44"/>
        <v>1.5151515151514916E-2</v>
      </c>
    </row>
    <row r="157" spans="13:22" customFormat="1" x14ac:dyDescent="0.25">
      <c r="M157" t="s">
        <v>20</v>
      </c>
      <c r="N157" s="35">
        <f>'Version 5 (LE) students only'!O45</f>
        <v>0.95000000000000007</v>
      </c>
      <c r="O157" s="35">
        <f>SUM($J$16:$J$21)</f>
        <v>0.94047619047619024</v>
      </c>
      <c r="P157" s="35">
        <f t="shared" si="44"/>
        <v>9.523809523809823E-3</v>
      </c>
    </row>
    <row r="158" spans="13:22" customFormat="1" x14ac:dyDescent="0.25">
      <c r="M158" t="s">
        <v>21</v>
      </c>
      <c r="N158" s="35">
        <f>'Version 5 (LE) students only'!O46</f>
        <v>0.99090909090909096</v>
      </c>
      <c r="O158" s="35">
        <f>SUM($J$16:$J$22)</f>
        <v>0.99206349206349187</v>
      </c>
      <c r="P158" s="35">
        <f t="shared" si="44"/>
        <v>1.1544011544009081E-3</v>
      </c>
    </row>
    <row r="159" spans="13:22" customFormat="1" x14ac:dyDescent="0.25">
      <c r="M159" t="s">
        <v>23</v>
      </c>
      <c r="N159" s="35">
        <f>'Version 5 (LE) students only'!O47</f>
        <v>1</v>
      </c>
      <c r="O159" s="35">
        <f>SUM($J$16:$J$23)</f>
        <v>0.99999999999999978</v>
      </c>
      <c r="P159" s="35">
        <f t="shared" si="44"/>
        <v>2.2204460492503131E-16</v>
      </c>
    </row>
    <row r="160" spans="13:22" customFormat="1" x14ac:dyDescent="0.25">
      <c r="M160" t="s">
        <v>15</v>
      </c>
      <c r="N160" s="35"/>
      <c r="P160" s="35">
        <f>MAX(P152:P159)</f>
        <v>0.15685425685425691</v>
      </c>
    </row>
    <row r="161" spans="13:16" customFormat="1" x14ac:dyDescent="0.25">
      <c r="M161" t="s">
        <v>162</v>
      </c>
      <c r="N161" s="35"/>
    </row>
    <row r="162" spans="13:16" customFormat="1" x14ac:dyDescent="0.25">
      <c r="M162" t="s">
        <v>24</v>
      </c>
      <c r="N162" s="35">
        <f>'Version 5 (LE) students only'!O50</f>
        <v>0</v>
      </c>
      <c r="O162" s="35">
        <f>O50</f>
        <v>0</v>
      </c>
      <c r="P162" s="35">
        <f>ABS(N162-O162)</f>
        <v>0</v>
      </c>
    </row>
    <row r="163" spans="13:16" customFormat="1" x14ac:dyDescent="0.25">
      <c r="M163" t="s">
        <v>25</v>
      </c>
      <c r="N163" s="35">
        <f>'Version 5 (LE) students only'!O51</f>
        <v>1.3636363636363636E-2</v>
      </c>
      <c r="O163" s="35">
        <f t="shared" ref="O163:O176" si="45">O51</f>
        <v>3.968253968253968E-3</v>
      </c>
      <c r="P163" s="35">
        <f t="shared" ref="P163:P176" si="46">ABS(N163-O163)</f>
        <v>9.6681096681096677E-3</v>
      </c>
    </row>
    <row r="164" spans="13:16" customFormat="1" x14ac:dyDescent="0.25">
      <c r="M164" t="s">
        <v>26</v>
      </c>
      <c r="N164" s="35">
        <f>'Version 5 (LE) students only'!O52</f>
        <v>5.4545454545454543E-2</v>
      </c>
      <c r="O164" s="35">
        <f t="shared" si="45"/>
        <v>3.968253968253968E-3</v>
      </c>
      <c r="P164" s="35">
        <f t="shared" si="46"/>
        <v>5.0577200577200575E-2</v>
      </c>
    </row>
    <row r="165" spans="13:16" customFormat="1" x14ac:dyDescent="0.25">
      <c r="M165" t="s">
        <v>27</v>
      </c>
      <c r="N165" s="35">
        <f>'Version 5 (LE) students only'!O53</f>
        <v>8.6363636363636365E-2</v>
      </c>
      <c r="O165" s="35">
        <f t="shared" si="45"/>
        <v>3.1746031746031744E-2</v>
      </c>
      <c r="P165" s="35">
        <f t="shared" si="46"/>
        <v>5.461760461760462E-2</v>
      </c>
    </row>
    <row r="166" spans="13:16" customFormat="1" x14ac:dyDescent="0.25">
      <c r="M166" t="s">
        <v>28</v>
      </c>
      <c r="N166" s="35">
        <f>'Version 5 (LE) students only'!O54</f>
        <v>0.19545454545454546</v>
      </c>
      <c r="O166" s="35">
        <f t="shared" si="45"/>
        <v>0.10317460317460317</v>
      </c>
      <c r="P166" s="35">
        <f t="shared" si="46"/>
        <v>9.2279942279942295E-2</v>
      </c>
    </row>
    <row r="167" spans="13:16" customFormat="1" x14ac:dyDescent="0.25">
      <c r="M167" t="s">
        <v>29</v>
      </c>
      <c r="N167" s="35">
        <f>'Version 5 (LE) students only'!O55</f>
        <v>0.3454545454545454</v>
      </c>
      <c r="O167" s="35">
        <f t="shared" si="45"/>
        <v>0.20238095238095238</v>
      </c>
      <c r="P167" s="35">
        <f t="shared" si="46"/>
        <v>0.14307359307359302</v>
      </c>
    </row>
    <row r="168" spans="13:16" customFormat="1" x14ac:dyDescent="0.25">
      <c r="M168" t="s">
        <v>30</v>
      </c>
      <c r="N168" s="35">
        <f>'Version 5 (LE) students only'!O56</f>
        <v>0.53181818181818175</v>
      </c>
      <c r="O168" s="35">
        <f t="shared" si="45"/>
        <v>0.45238095238095233</v>
      </c>
      <c r="P168" s="35">
        <f t="shared" si="46"/>
        <v>7.9437229437229417E-2</v>
      </c>
    </row>
    <row r="169" spans="13:16" customFormat="1" x14ac:dyDescent="0.25">
      <c r="M169" t="s">
        <v>31</v>
      </c>
      <c r="N169" s="35">
        <f>'Version 5 (LE) students only'!O57</f>
        <v>0.75909090909090904</v>
      </c>
      <c r="O169" s="35">
        <f t="shared" si="45"/>
        <v>0.81746031746031744</v>
      </c>
      <c r="P169" s="35">
        <f t="shared" si="46"/>
        <v>5.8369408369408404E-2</v>
      </c>
    </row>
    <row r="170" spans="13:16" customFormat="1" x14ac:dyDescent="0.25">
      <c r="M170" t="s">
        <v>32</v>
      </c>
      <c r="N170" s="35">
        <f>'Version 5 (LE) students only'!O58</f>
        <v>0.86363636363636354</v>
      </c>
      <c r="O170" s="35">
        <f t="shared" si="45"/>
        <v>0.91666666666666663</v>
      </c>
      <c r="P170" s="35">
        <f t="shared" si="46"/>
        <v>5.3030303030303094E-2</v>
      </c>
    </row>
    <row r="171" spans="13:16" customFormat="1" x14ac:dyDescent="0.25">
      <c r="M171" t="s">
        <v>33</v>
      </c>
      <c r="N171" s="35">
        <f>'Version 5 (LE) students only'!O59</f>
        <v>0.92727272727272714</v>
      </c>
      <c r="O171" s="35">
        <f t="shared" si="45"/>
        <v>0.95634920634920628</v>
      </c>
      <c r="P171" s="35">
        <f t="shared" si="46"/>
        <v>2.9076479076479145E-2</v>
      </c>
    </row>
    <row r="172" spans="13:16" customFormat="1" x14ac:dyDescent="0.25">
      <c r="M172" t="s">
        <v>34</v>
      </c>
      <c r="N172" s="35">
        <f>'Version 5 (LE) students only'!O60</f>
        <v>0.97727272727272707</v>
      </c>
      <c r="O172" s="35">
        <f t="shared" si="45"/>
        <v>0.98809523809523792</v>
      </c>
      <c r="P172" s="35">
        <f t="shared" si="46"/>
        <v>1.0822510822510845E-2</v>
      </c>
    </row>
    <row r="173" spans="13:16" customFormat="1" x14ac:dyDescent="0.25">
      <c r="M173" t="s">
        <v>35</v>
      </c>
      <c r="N173" s="35">
        <f>'Version 5 (LE) students only'!O61</f>
        <v>0.99999999999999967</v>
      </c>
      <c r="O173" s="35">
        <f t="shared" si="45"/>
        <v>0.99603174603174582</v>
      </c>
      <c r="P173" s="35">
        <f t="shared" si="46"/>
        <v>3.9682539682538431E-3</v>
      </c>
    </row>
    <row r="174" spans="13:16" customFormat="1" x14ac:dyDescent="0.25">
      <c r="M174" t="s">
        <v>36</v>
      </c>
      <c r="N174" s="35">
        <f>'Version 5 (LE) students only'!O62</f>
        <v>0.99999999999999967</v>
      </c>
      <c r="O174" s="35">
        <f t="shared" si="45"/>
        <v>0.99999999999999978</v>
      </c>
      <c r="P174" s="35">
        <f t="shared" si="46"/>
        <v>1.1102230246251565E-16</v>
      </c>
    </row>
    <row r="175" spans="13:16" customFormat="1" x14ac:dyDescent="0.25">
      <c r="M175" t="s">
        <v>37</v>
      </c>
      <c r="N175" s="35">
        <f>'Version 5 (LE) students only'!O63</f>
        <v>0.99999999999999967</v>
      </c>
      <c r="O175" s="35">
        <f t="shared" si="45"/>
        <v>0.99999999999999978</v>
      </c>
      <c r="P175" s="35">
        <f t="shared" si="46"/>
        <v>1.1102230246251565E-16</v>
      </c>
    </row>
    <row r="176" spans="13:16" customFormat="1" x14ac:dyDescent="0.25">
      <c r="M176" t="s">
        <v>38</v>
      </c>
      <c r="N176" s="35">
        <f>'Version 5 (LE) students only'!O64</f>
        <v>0.99999999999999967</v>
      </c>
      <c r="O176" s="35">
        <f t="shared" si="45"/>
        <v>0.99999999999999978</v>
      </c>
      <c r="P176" s="35">
        <f t="shared" si="46"/>
        <v>1.1102230246251565E-16</v>
      </c>
    </row>
    <row r="177" spans="13:16" customFormat="1" x14ac:dyDescent="0.25">
      <c r="M177" t="s">
        <v>15</v>
      </c>
      <c r="N177" s="35"/>
      <c r="O177" s="35"/>
      <c r="P177" s="35">
        <f>MAX(P162:P176)</f>
        <v>0.14307359307359302</v>
      </c>
    </row>
    <row r="178" spans="13:16" customFormat="1" x14ac:dyDescent="0.25">
      <c r="M178" t="s">
        <v>163</v>
      </c>
      <c r="N178" s="35"/>
    </row>
    <row r="179" spans="13:16" customFormat="1" x14ac:dyDescent="0.25">
      <c r="M179" t="s">
        <v>40</v>
      </c>
      <c r="N179" s="35">
        <f>'Version 5 (LE) students only'!O67</f>
        <v>4.5454545454545452E-3</v>
      </c>
      <c r="O179" s="35">
        <f>O67</f>
        <v>0</v>
      </c>
      <c r="P179" s="35">
        <f>ABS(N179-O179)</f>
        <v>4.5454545454545452E-3</v>
      </c>
    </row>
    <row r="180" spans="13:16" customFormat="1" x14ac:dyDescent="0.25">
      <c r="M180" t="s">
        <v>41</v>
      </c>
      <c r="N180" s="35">
        <f>'Version 5 (LE) students only'!O68</f>
        <v>4.5454545454545452E-3</v>
      </c>
      <c r="O180" s="35">
        <f t="shared" ref="O180:O193" si="47">O68</f>
        <v>0</v>
      </c>
      <c r="P180" s="35">
        <f t="shared" ref="P180:P193" si="48">ABS(N180-O180)</f>
        <v>4.5454545454545452E-3</v>
      </c>
    </row>
    <row r="181" spans="13:16" customFormat="1" x14ac:dyDescent="0.25">
      <c r="M181" t="s">
        <v>42</v>
      </c>
      <c r="N181" s="35">
        <f>'Version 5 (LE) students only'!O69</f>
        <v>2.2727272727272728E-2</v>
      </c>
      <c r="O181" s="35">
        <f t="shared" si="47"/>
        <v>1.5873015873015872E-2</v>
      </c>
      <c r="P181" s="35">
        <f t="shared" si="48"/>
        <v>6.8542568542568558E-3</v>
      </c>
    </row>
    <row r="182" spans="13:16" customFormat="1" x14ac:dyDescent="0.25">
      <c r="M182" t="s">
        <v>43</v>
      </c>
      <c r="N182" s="35">
        <f>'Version 5 (LE) students only'!O70</f>
        <v>4.9999999999999996E-2</v>
      </c>
      <c r="O182" s="35">
        <f t="shared" si="47"/>
        <v>2.3809523809523808E-2</v>
      </c>
      <c r="P182" s="35">
        <f t="shared" si="48"/>
        <v>2.6190476190476188E-2</v>
      </c>
    </row>
    <row r="183" spans="13:16" customFormat="1" x14ac:dyDescent="0.25">
      <c r="M183" t="s">
        <v>44</v>
      </c>
      <c r="N183" s="35">
        <f>'Version 5 (LE) students only'!O71</f>
        <v>0.14545454545454548</v>
      </c>
      <c r="O183" s="35">
        <f t="shared" si="47"/>
        <v>8.7301587301587297E-2</v>
      </c>
      <c r="P183" s="35">
        <f t="shared" si="48"/>
        <v>5.8152958152958178E-2</v>
      </c>
    </row>
    <row r="184" spans="13:16" customFormat="1" x14ac:dyDescent="0.25">
      <c r="M184" t="s">
        <v>45</v>
      </c>
      <c r="N184" s="35">
        <f>'Version 5 (LE) students only'!O72</f>
        <v>0.27727272727272728</v>
      </c>
      <c r="O184" s="35">
        <f t="shared" si="47"/>
        <v>0.15873015873015872</v>
      </c>
      <c r="P184" s="35">
        <f t="shared" si="48"/>
        <v>0.11854256854256856</v>
      </c>
    </row>
    <row r="185" spans="13:16" customFormat="1" x14ac:dyDescent="0.25">
      <c r="M185" t="s">
        <v>46</v>
      </c>
      <c r="N185" s="35">
        <f>'Version 5 (LE) students only'!O73</f>
        <v>0.44545454545454544</v>
      </c>
      <c r="O185" s="35">
        <f t="shared" si="47"/>
        <v>0.33333333333333331</v>
      </c>
      <c r="P185" s="35">
        <f t="shared" si="48"/>
        <v>0.11212121212121212</v>
      </c>
    </row>
    <row r="186" spans="13:16" customFormat="1" x14ac:dyDescent="0.25">
      <c r="M186" t="s">
        <v>47</v>
      </c>
      <c r="N186" s="35">
        <f>'Version 5 (LE) students only'!O74</f>
        <v>0.65</v>
      </c>
      <c r="O186" s="35">
        <f t="shared" si="47"/>
        <v>0.59523809523809523</v>
      </c>
      <c r="P186" s="35">
        <f t="shared" si="48"/>
        <v>5.4761904761904789E-2</v>
      </c>
    </row>
    <row r="187" spans="13:16" customFormat="1" x14ac:dyDescent="0.25">
      <c r="M187" t="s">
        <v>48</v>
      </c>
      <c r="N187" s="35">
        <f>'Version 5 (LE) students only'!O75</f>
        <v>0.80454545454545445</v>
      </c>
      <c r="O187" s="35">
        <f t="shared" si="47"/>
        <v>0.79761904761904767</v>
      </c>
      <c r="P187" s="35">
        <f t="shared" si="48"/>
        <v>6.9264069264067807E-3</v>
      </c>
    </row>
    <row r="188" spans="13:16" customFormat="1" x14ac:dyDescent="0.25">
      <c r="M188" t="s">
        <v>49</v>
      </c>
      <c r="N188" s="35">
        <f>'Version 5 (LE) students only'!O76</f>
        <v>0.8999999999999998</v>
      </c>
      <c r="O188" s="35">
        <f t="shared" si="47"/>
        <v>0.88492063492063489</v>
      </c>
      <c r="P188" s="35">
        <f t="shared" si="48"/>
        <v>1.5079365079364915E-2</v>
      </c>
    </row>
    <row r="189" spans="13:16" customFormat="1" x14ac:dyDescent="0.25">
      <c r="M189" t="s">
        <v>50</v>
      </c>
      <c r="N189" s="35">
        <f>'Version 5 (LE) students only'!O77</f>
        <v>0.9636363636363634</v>
      </c>
      <c r="O189" s="35">
        <f t="shared" si="47"/>
        <v>0.94444444444444442</v>
      </c>
      <c r="P189" s="35">
        <f t="shared" si="48"/>
        <v>1.9191919191918982E-2</v>
      </c>
    </row>
    <row r="190" spans="13:16" customFormat="1" x14ac:dyDescent="0.25">
      <c r="M190" t="s">
        <v>51</v>
      </c>
      <c r="N190" s="35">
        <f>'Version 5 (LE) students only'!O78</f>
        <v>0.99090909090909063</v>
      </c>
      <c r="O190" s="35">
        <f t="shared" si="47"/>
        <v>0.96825396825396814</v>
      </c>
      <c r="P190" s="35">
        <f t="shared" si="48"/>
        <v>2.2655122655122484E-2</v>
      </c>
    </row>
    <row r="191" spans="13:16" customFormat="1" x14ac:dyDescent="0.25">
      <c r="M191" t="s">
        <v>52</v>
      </c>
      <c r="N191" s="35">
        <f>'Version 5 (LE) students only'!O79</f>
        <v>0.99545454545454515</v>
      </c>
      <c r="O191" s="35">
        <f t="shared" si="47"/>
        <v>0.99206349206349198</v>
      </c>
      <c r="P191" s="35">
        <f t="shared" si="48"/>
        <v>3.3910533910531671E-3</v>
      </c>
    </row>
    <row r="192" spans="13:16" customFormat="1" x14ac:dyDescent="0.25">
      <c r="M192" t="s">
        <v>53</v>
      </c>
      <c r="N192" s="35">
        <f>'Version 5 (LE) students only'!O80</f>
        <v>0.99999999999999967</v>
      </c>
      <c r="O192" s="35">
        <f t="shared" si="47"/>
        <v>0.99603174603174593</v>
      </c>
      <c r="P192" s="35">
        <f t="shared" si="48"/>
        <v>3.9682539682537321E-3</v>
      </c>
    </row>
    <row r="193" spans="13:23" customFormat="1" x14ac:dyDescent="0.25">
      <c r="M193" t="s">
        <v>54</v>
      </c>
      <c r="N193" s="35">
        <f>'Version 5 (LE) students only'!O81</f>
        <v>0.99999999999999967</v>
      </c>
      <c r="O193" s="35">
        <f t="shared" si="47"/>
        <v>0.99999999999999989</v>
      </c>
      <c r="P193" s="35">
        <f t="shared" si="48"/>
        <v>2.2204460492503131E-16</v>
      </c>
    </row>
    <row r="194" spans="13:23" customFormat="1" x14ac:dyDescent="0.25">
      <c r="M194" t="s">
        <v>15</v>
      </c>
      <c r="P194" s="35">
        <f>MAX(P179:P193)</f>
        <v>0.11854256854256856</v>
      </c>
    </row>
    <row r="196" spans="13:23" customFormat="1" x14ac:dyDescent="0.25">
      <c r="M196" s="37" t="s">
        <v>188</v>
      </c>
      <c r="T196" t="s">
        <v>153</v>
      </c>
    </row>
    <row r="197" spans="13:23" customFormat="1" x14ac:dyDescent="0.25">
      <c r="M197" t="s">
        <v>160</v>
      </c>
      <c r="N197" t="s">
        <v>189</v>
      </c>
      <c r="O197" t="s">
        <v>178</v>
      </c>
      <c r="P197" t="s">
        <v>39</v>
      </c>
      <c r="T197" t="s">
        <v>145</v>
      </c>
      <c r="U197" t="s">
        <v>146</v>
      </c>
      <c r="V197" t="s">
        <v>150</v>
      </c>
    </row>
    <row r="198" spans="13:23" customFormat="1" x14ac:dyDescent="0.25">
      <c r="M198" t="s">
        <v>6</v>
      </c>
      <c r="N198" s="35">
        <f>'Version 5 (LE)'!AK30</f>
        <v>3.2894736842105261E-3</v>
      </c>
      <c r="O198" s="35">
        <f>$B$24</f>
        <v>1.984126984126984E-2</v>
      </c>
      <c r="P198" s="35">
        <f t="shared" ref="P198:P205" si="49">ABS(N198-O198)</f>
        <v>1.6551796157059314E-2</v>
      </c>
      <c r="T198">
        <v>0.1</v>
      </c>
      <c r="U198">
        <v>1.22</v>
      </c>
      <c r="V198">
        <f>SQRT((T203+T204)/(T203*T204))</f>
        <v>0.15969838367744296</v>
      </c>
      <c r="W198">
        <f>PRODUCT(V198, U198)</f>
        <v>0.1948320280864804</v>
      </c>
    </row>
    <row r="199" spans="13:23" customFormat="1" x14ac:dyDescent="0.25">
      <c r="M199" t="s">
        <v>7</v>
      </c>
      <c r="N199" s="35">
        <f>'Version 5 (LE)'!AK31</f>
        <v>1.0642414860681114E-2</v>
      </c>
      <c r="O199" s="35">
        <f>$B$24+$C$24</f>
        <v>7.1428571428571425E-2</v>
      </c>
      <c r="P199" s="35">
        <f t="shared" si="49"/>
        <v>6.0786156567890312E-2</v>
      </c>
      <c r="T199">
        <v>0.05</v>
      </c>
      <c r="U199">
        <v>1.36</v>
      </c>
      <c r="W199">
        <f>V198*U199</f>
        <v>0.21718980180132244</v>
      </c>
    </row>
    <row r="200" spans="13:23" customFormat="1" x14ac:dyDescent="0.25">
      <c r="M200" t="s">
        <v>8</v>
      </c>
      <c r="N200" s="35">
        <f>'Version 5 (LE)'!AK32</f>
        <v>0.30921052631578949</v>
      </c>
      <c r="O200" s="35">
        <f>$B$24+$C$24+$D$24</f>
        <v>0.26190476190476186</v>
      </c>
      <c r="P200" s="35">
        <f t="shared" si="49"/>
        <v>4.7305764411027629E-2</v>
      </c>
      <c r="T200">
        <v>0.01</v>
      </c>
      <c r="U200">
        <v>1.63</v>
      </c>
      <c r="W200">
        <f>V198*U200</f>
        <v>0.26030836539423202</v>
      </c>
    </row>
    <row r="201" spans="13:23" customFormat="1" x14ac:dyDescent="0.25">
      <c r="M201" t="s">
        <v>9</v>
      </c>
      <c r="N201" s="35">
        <f>'Version 5 (LE)'!AK33</f>
        <v>0.69407894736842102</v>
      </c>
      <c r="O201" s="35">
        <f>SUM($B$24:$E$24)</f>
        <v>0.67857142857142849</v>
      </c>
      <c r="P201" s="35">
        <f t="shared" si="49"/>
        <v>1.5507518796992525E-2</v>
      </c>
      <c r="R201" t="s">
        <v>216</v>
      </c>
      <c r="V201" s="35">
        <f>MAX(P206, P216, P233, P250)</f>
        <v>9.299289891395135E-2</v>
      </c>
    </row>
    <row r="202" spans="13:23" customFormat="1" x14ac:dyDescent="0.25">
      <c r="M202" t="s">
        <v>10</v>
      </c>
      <c r="N202" s="35">
        <f>'Version 5 (LE)'!AK34</f>
        <v>0.9078947368421052</v>
      </c>
      <c r="O202" s="35">
        <f>SUM($B$24:$F$24)</f>
        <v>0.84126984126984117</v>
      </c>
      <c r="P202" s="35">
        <f t="shared" si="49"/>
        <v>6.6624895572264031E-2</v>
      </c>
      <c r="T202" t="s">
        <v>147</v>
      </c>
    </row>
    <row r="203" spans="13:23" customFormat="1" x14ac:dyDescent="0.25">
      <c r="M203" t="s">
        <v>11</v>
      </c>
      <c r="N203" s="35">
        <f>'Version 5 (LE)'!AK35</f>
        <v>0.96381578947368418</v>
      </c>
      <c r="O203" s="35">
        <f>SUM($B$24:$G$24)</f>
        <v>0.96825396825396814</v>
      </c>
      <c r="P203" s="35">
        <f t="shared" si="49"/>
        <v>4.4381787802839634E-3</v>
      </c>
      <c r="S203" t="s">
        <v>190</v>
      </c>
      <c r="T203">
        <v>76</v>
      </c>
    </row>
    <row r="204" spans="13:23" customFormat="1" x14ac:dyDescent="0.25">
      <c r="M204" t="s">
        <v>12</v>
      </c>
      <c r="N204" s="35">
        <f>'Version 5 (LE)'!AK36</f>
        <v>0.98355263157894735</v>
      </c>
      <c r="O204" s="35">
        <f>SUM($B$24:$H$24)</f>
        <v>0.99603174603174593</v>
      </c>
      <c r="P204" s="35">
        <f t="shared" si="49"/>
        <v>1.247911445279859E-2</v>
      </c>
      <c r="S204" t="s">
        <v>186</v>
      </c>
      <c r="T204">
        <v>81</v>
      </c>
    </row>
    <row r="205" spans="13:23" customFormat="1" x14ac:dyDescent="0.25">
      <c r="M205" t="s">
        <v>22</v>
      </c>
      <c r="N205" s="35">
        <f>'Version 5 (LE)'!AK37</f>
        <v>1</v>
      </c>
      <c r="O205" s="35">
        <f>SUM($B$24:$I$24)</f>
        <v>0.99999999999999989</v>
      </c>
      <c r="P205" s="35">
        <f t="shared" si="49"/>
        <v>1.1102230246251565E-16</v>
      </c>
    </row>
    <row r="206" spans="13:23" customFormat="1" x14ac:dyDescent="0.25">
      <c r="M206" t="s">
        <v>15</v>
      </c>
      <c r="N206" s="35"/>
      <c r="P206" s="35">
        <f>MAX(P198:P205)</f>
        <v>6.6624895572264031E-2</v>
      </c>
    </row>
    <row r="207" spans="13:23" customFormat="1" x14ac:dyDescent="0.25">
      <c r="M207" t="s">
        <v>161</v>
      </c>
      <c r="N207" s="35"/>
    </row>
    <row r="208" spans="13:23" customFormat="1" x14ac:dyDescent="0.25">
      <c r="M208" t="s">
        <v>93</v>
      </c>
      <c r="N208" s="35">
        <f>'Version 5 (LE)'!AK40</f>
        <v>5.5921052631578941E-2</v>
      </c>
      <c r="O208" s="35">
        <f>$J$16</f>
        <v>7.9365079365079361E-3</v>
      </c>
      <c r="P208" s="35">
        <f>ABS(N208-O208)</f>
        <v>4.7984544695071005E-2</v>
      </c>
    </row>
    <row r="209" spans="13:16" customFormat="1" x14ac:dyDescent="0.25">
      <c r="M209" t="s">
        <v>16</v>
      </c>
      <c r="N209" s="35">
        <f>'Version 5 (LE)'!AK41</f>
        <v>0.10855263157894735</v>
      </c>
      <c r="O209" s="35">
        <f>SUM($J$16:$J$17)</f>
        <v>5.1587301587301584E-2</v>
      </c>
      <c r="P209" s="35">
        <f t="shared" ref="P209:P215" si="50">ABS(N209-O209)</f>
        <v>5.6965329991645761E-2</v>
      </c>
    </row>
    <row r="210" spans="13:16" customFormat="1" x14ac:dyDescent="0.25">
      <c r="M210" t="s">
        <v>17</v>
      </c>
      <c r="N210" s="35">
        <f>'Version 5 (LE)'!AK42</f>
        <v>0.23355263157894735</v>
      </c>
      <c r="O210" s="35">
        <f>SUM($J$16:$J$18)</f>
        <v>0.26587301587301582</v>
      </c>
      <c r="P210" s="35">
        <f t="shared" si="50"/>
        <v>3.2320384294068472E-2</v>
      </c>
    </row>
    <row r="211" spans="13:16" customFormat="1" x14ac:dyDescent="0.25">
      <c r="M211" t="s">
        <v>18</v>
      </c>
      <c r="N211" s="35">
        <f>'Version 5 (LE)'!AK43</f>
        <v>0.45065789473684215</v>
      </c>
      <c r="O211" s="35">
        <f>SUM($J$16:$J$19)</f>
        <v>0.5436507936507935</v>
      </c>
      <c r="P211" s="35">
        <f t="shared" si="50"/>
        <v>9.299289891395135E-2</v>
      </c>
    </row>
    <row r="212" spans="13:16" customFormat="1" x14ac:dyDescent="0.25">
      <c r="M212" t="s">
        <v>19</v>
      </c>
      <c r="N212" s="35">
        <f>'Version 5 (LE)'!AK44</f>
        <v>0.76973684210526327</v>
      </c>
      <c r="O212" s="35">
        <f>SUM($J$16:$J$20)</f>
        <v>0.83333333333333315</v>
      </c>
      <c r="P212" s="35">
        <f t="shared" si="50"/>
        <v>6.3596491228069874E-2</v>
      </c>
    </row>
    <row r="213" spans="13:16" customFormat="1" x14ac:dyDescent="0.25">
      <c r="M213" t="s">
        <v>20</v>
      </c>
      <c r="N213" s="35">
        <f>'Version 5 (LE)'!AK45</f>
        <v>0.90460526315789491</v>
      </c>
      <c r="O213" s="35">
        <f>SUM($J$16:$J$21)</f>
        <v>0.94047619047619024</v>
      </c>
      <c r="P213" s="35">
        <f t="shared" si="50"/>
        <v>3.5870927318295331E-2</v>
      </c>
    </row>
    <row r="214" spans="13:16" customFormat="1" x14ac:dyDescent="0.25">
      <c r="M214" t="s">
        <v>21</v>
      </c>
      <c r="N214" s="35">
        <f>'Version 5 (LE)'!AK46</f>
        <v>0.97697368421052655</v>
      </c>
      <c r="O214" s="35">
        <f>SUM($J$16:$J$22)</f>
        <v>0.99206349206349187</v>
      </c>
      <c r="P214" s="35">
        <f t="shared" si="50"/>
        <v>1.508980785296532E-2</v>
      </c>
    </row>
    <row r="215" spans="13:16" customFormat="1" x14ac:dyDescent="0.25">
      <c r="M215" t="s">
        <v>23</v>
      </c>
      <c r="N215" s="35">
        <f>'Version 5 (LE)'!AK47</f>
        <v>1.0000000000000002</v>
      </c>
      <c r="O215" s="35">
        <f>SUM($J$16:$J$23)</f>
        <v>0.99999999999999978</v>
      </c>
      <c r="P215" s="35">
        <f t="shared" si="50"/>
        <v>4.4408920985006262E-16</v>
      </c>
    </row>
    <row r="216" spans="13:16" customFormat="1" x14ac:dyDescent="0.25">
      <c r="M216" t="s">
        <v>15</v>
      </c>
      <c r="N216" s="35"/>
      <c r="P216" s="35">
        <f>MAX(P208:P215)</f>
        <v>9.299289891395135E-2</v>
      </c>
    </row>
    <row r="217" spans="13:16" customFormat="1" x14ac:dyDescent="0.25">
      <c r="M217" t="s">
        <v>162</v>
      </c>
      <c r="N217" s="35"/>
    </row>
    <row r="218" spans="13:16" customFormat="1" x14ac:dyDescent="0.25">
      <c r="M218" t="s">
        <v>24</v>
      </c>
      <c r="N218" s="35">
        <f>'Version 5 (LE)'!AK50</f>
        <v>3.2894736842105261E-3</v>
      </c>
      <c r="O218" s="35">
        <f>O106</f>
        <v>0</v>
      </c>
      <c r="P218" s="35">
        <f>ABS(N218-O218)</f>
        <v>3.2894736842105261E-3</v>
      </c>
    </row>
    <row r="219" spans="13:16" customFormat="1" x14ac:dyDescent="0.25">
      <c r="M219" t="s">
        <v>25</v>
      </c>
      <c r="N219" s="35">
        <f>'Version 5 (LE)'!AK51</f>
        <v>1.3157894736842105E-2</v>
      </c>
      <c r="O219" s="35">
        <f t="shared" ref="O219:O232" si="51">O107</f>
        <v>3.968253968253968E-3</v>
      </c>
      <c r="P219" s="35">
        <f t="shared" ref="P219:P232" si="52">ABS(N219-O219)</f>
        <v>9.1896407685881365E-3</v>
      </c>
    </row>
    <row r="220" spans="13:16" customFormat="1" x14ac:dyDescent="0.25">
      <c r="M220" t="s">
        <v>26</v>
      </c>
      <c r="N220" s="35">
        <f>'Version 5 (LE)'!AK52</f>
        <v>1.9736842105263157E-2</v>
      </c>
      <c r="O220" s="35">
        <f t="shared" si="51"/>
        <v>3.968253968253968E-3</v>
      </c>
      <c r="P220" s="35">
        <f t="shared" si="52"/>
        <v>1.5768588137009189E-2</v>
      </c>
    </row>
    <row r="221" spans="13:16" customFormat="1" x14ac:dyDescent="0.25">
      <c r="M221" t="s">
        <v>27</v>
      </c>
      <c r="N221" s="35">
        <f>'Version 5 (LE)'!AK53</f>
        <v>5.5921052631578941E-2</v>
      </c>
      <c r="O221" s="35">
        <f t="shared" si="51"/>
        <v>3.1746031746031744E-2</v>
      </c>
      <c r="P221" s="35">
        <f t="shared" si="52"/>
        <v>2.4175020885547197E-2</v>
      </c>
    </row>
    <row r="222" spans="13:16" customFormat="1" x14ac:dyDescent="0.25">
      <c r="M222" t="s">
        <v>28</v>
      </c>
      <c r="N222" s="35">
        <f>'Version 5 (LE)'!AK54</f>
        <v>9.5394736842105254E-2</v>
      </c>
      <c r="O222" s="35">
        <f t="shared" si="51"/>
        <v>0.10317460317460317</v>
      </c>
      <c r="P222" s="35">
        <f t="shared" si="52"/>
        <v>7.7798663324979145E-3</v>
      </c>
    </row>
    <row r="223" spans="13:16" customFormat="1" x14ac:dyDescent="0.25">
      <c r="M223" t="s">
        <v>29</v>
      </c>
      <c r="N223" s="35">
        <f>'Version 5 (LE)'!AK55</f>
        <v>0.21710526315789469</v>
      </c>
      <c r="O223" s="35">
        <f t="shared" si="51"/>
        <v>0.20238095238095238</v>
      </c>
      <c r="P223" s="35">
        <f t="shared" si="52"/>
        <v>1.4724310776942307E-2</v>
      </c>
    </row>
    <row r="224" spans="13:16" customFormat="1" x14ac:dyDescent="0.25">
      <c r="M224" t="s">
        <v>30</v>
      </c>
      <c r="N224" s="35">
        <f>'Version 5 (LE)'!AK56</f>
        <v>0.42434210526315785</v>
      </c>
      <c r="O224" s="35">
        <f t="shared" si="51"/>
        <v>0.45238095238095233</v>
      </c>
      <c r="P224" s="35">
        <f t="shared" si="52"/>
        <v>2.8038847117794474E-2</v>
      </c>
    </row>
    <row r="225" spans="13:16" customFormat="1" x14ac:dyDescent="0.25">
      <c r="M225" t="s">
        <v>31</v>
      </c>
      <c r="N225" s="35">
        <f>'Version 5 (LE)'!AK57</f>
        <v>0.7532894736842104</v>
      </c>
      <c r="O225" s="35">
        <f t="shared" si="51"/>
        <v>0.81746031746031744</v>
      </c>
      <c r="P225" s="35">
        <f t="shared" si="52"/>
        <v>6.4170843776107045E-2</v>
      </c>
    </row>
    <row r="226" spans="13:16" customFormat="1" x14ac:dyDescent="0.25">
      <c r="M226" t="s">
        <v>32</v>
      </c>
      <c r="N226" s="35">
        <f>'Version 5 (LE)'!AK58</f>
        <v>0.90460526315789458</v>
      </c>
      <c r="O226" s="35">
        <f t="shared" si="51"/>
        <v>0.91666666666666663</v>
      </c>
      <c r="P226" s="35">
        <f t="shared" si="52"/>
        <v>1.2061403508772051E-2</v>
      </c>
    </row>
    <row r="227" spans="13:16" customFormat="1" x14ac:dyDescent="0.25">
      <c r="M227" t="s">
        <v>33</v>
      </c>
      <c r="N227" s="35">
        <f>'Version 5 (LE)'!AK59</f>
        <v>0.97039473684210509</v>
      </c>
      <c r="O227" s="35">
        <f t="shared" si="51"/>
        <v>0.95634920634920628</v>
      </c>
      <c r="P227" s="35">
        <f t="shared" si="52"/>
        <v>1.4045530492898806E-2</v>
      </c>
    </row>
    <row r="228" spans="13:16" customFormat="1" x14ac:dyDescent="0.25">
      <c r="M228" t="s">
        <v>34</v>
      </c>
      <c r="N228" s="35">
        <f>'Version 5 (LE)'!AK60</f>
        <v>0.97697368421052611</v>
      </c>
      <c r="O228" s="35">
        <f t="shared" si="51"/>
        <v>0.98809523809523792</v>
      </c>
      <c r="P228" s="35">
        <f t="shared" si="52"/>
        <v>1.112155388471181E-2</v>
      </c>
    </row>
    <row r="229" spans="13:16" customFormat="1" x14ac:dyDescent="0.25">
      <c r="M229" t="s">
        <v>35</v>
      </c>
      <c r="N229" s="35">
        <f>'Version 5 (LE)'!AK61</f>
        <v>0.98684210526315763</v>
      </c>
      <c r="O229" s="35">
        <f t="shared" si="51"/>
        <v>0.99603174603174582</v>
      </c>
      <c r="P229" s="35">
        <f t="shared" si="52"/>
        <v>9.189640768588192E-3</v>
      </c>
    </row>
    <row r="230" spans="13:16" customFormat="1" x14ac:dyDescent="0.25">
      <c r="M230" t="s">
        <v>36</v>
      </c>
      <c r="N230" s="35">
        <f>'Version 5 (LE)'!AK62</f>
        <v>0.98684210526315763</v>
      </c>
      <c r="O230" s="35">
        <f t="shared" si="51"/>
        <v>0.99999999999999978</v>
      </c>
      <c r="P230" s="35">
        <f t="shared" si="52"/>
        <v>1.3157894736842146E-2</v>
      </c>
    </row>
    <row r="231" spans="13:16" customFormat="1" x14ac:dyDescent="0.25">
      <c r="M231" t="s">
        <v>37</v>
      </c>
      <c r="N231" s="35">
        <f>'Version 5 (LE)'!AK63</f>
        <v>0.99013157894736814</v>
      </c>
      <c r="O231" s="35">
        <f t="shared" si="51"/>
        <v>0.99999999999999978</v>
      </c>
      <c r="P231" s="35">
        <f t="shared" si="52"/>
        <v>9.8684210526316374E-3</v>
      </c>
    </row>
    <row r="232" spans="13:16" customFormat="1" x14ac:dyDescent="0.25">
      <c r="M232" t="s">
        <v>38</v>
      </c>
      <c r="N232" s="35">
        <f>'Version 5 (LE)'!AK64</f>
        <v>0.99999999999999967</v>
      </c>
      <c r="O232" s="35">
        <f t="shared" si="51"/>
        <v>0.99999999999999978</v>
      </c>
      <c r="P232" s="35">
        <f t="shared" si="52"/>
        <v>1.1102230246251565E-16</v>
      </c>
    </row>
    <row r="233" spans="13:16" customFormat="1" x14ac:dyDescent="0.25">
      <c r="M233" t="s">
        <v>15</v>
      </c>
      <c r="N233" s="35"/>
      <c r="O233" s="35"/>
      <c r="P233" s="35">
        <f>MAX(P218:P232)</f>
        <v>6.4170843776107045E-2</v>
      </c>
    </row>
    <row r="234" spans="13:16" customFormat="1" x14ac:dyDescent="0.25">
      <c r="M234" t="s">
        <v>163</v>
      </c>
      <c r="N234" s="35"/>
    </row>
    <row r="235" spans="13:16" customFormat="1" x14ac:dyDescent="0.25">
      <c r="M235" t="s">
        <v>40</v>
      </c>
      <c r="N235" s="35">
        <f>'Version 5 (LE)'!AK67</f>
        <v>3.2894736842105261E-3</v>
      </c>
      <c r="O235" s="35">
        <f>O123</f>
        <v>0</v>
      </c>
      <c r="P235" s="35">
        <f>ABS(N235-O235)</f>
        <v>3.2894736842105261E-3</v>
      </c>
    </row>
    <row r="236" spans="13:16" customFormat="1" x14ac:dyDescent="0.25">
      <c r="M236" t="s">
        <v>41</v>
      </c>
      <c r="N236" s="35">
        <f>'Version 5 (LE)'!AK68</f>
        <v>3.2894736842105261E-3</v>
      </c>
      <c r="O236" s="35">
        <f t="shared" ref="O236:O249" si="53">O124</f>
        <v>0</v>
      </c>
      <c r="P236" s="35">
        <f t="shared" ref="P236:P249" si="54">ABS(N236-O236)</f>
        <v>3.2894736842105261E-3</v>
      </c>
    </row>
    <row r="237" spans="13:16" customFormat="1" x14ac:dyDescent="0.25">
      <c r="M237" t="s">
        <v>42</v>
      </c>
      <c r="N237" s="35">
        <f>'Version 5 (LE)'!AK69</f>
        <v>2.3026315789473683E-2</v>
      </c>
      <c r="O237" s="35">
        <f t="shared" si="53"/>
        <v>1.5873015873015872E-2</v>
      </c>
      <c r="P237" s="35">
        <f t="shared" si="54"/>
        <v>7.1532999164578108E-3</v>
      </c>
    </row>
    <row r="238" spans="13:16" customFormat="1" x14ac:dyDescent="0.25">
      <c r="M238" t="s">
        <v>43</v>
      </c>
      <c r="N238" s="35">
        <f>'Version 5 (LE)'!AK70</f>
        <v>3.9473684210526314E-2</v>
      </c>
      <c r="O238" s="35">
        <f t="shared" si="53"/>
        <v>2.3809523809523808E-2</v>
      </c>
      <c r="P238" s="35">
        <f t="shared" si="54"/>
        <v>1.5664160401002505E-2</v>
      </c>
    </row>
    <row r="239" spans="13:16" customFormat="1" x14ac:dyDescent="0.25">
      <c r="M239" t="s">
        <v>44</v>
      </c>
      <c r="N239" s="35">
        <f>'Version 5 (LE)'!AK71</f>
        <v>9.2105263157894718E-2</v>
      </c>
      <c r="O239" s="35">
        <f t="shared" si="53"/>
        <v>8.7301587301587297E-2</v>
      </c>
      <c r="P239" s="35">
        <f t="shared" si="54"/>
        <v>4.8036758563074211E-3</v>
      </c>
    </row>
    <row r="240" spans="13:16" customFormat="1" x14ac:dyDescent="0.25">
      <c r="M240" t="s">
        <v>45</v>
      </c>
      <c r="N240" s="35">
        <f>'Version 5 (LE)'!AK72</f>
        <v>0.13815789473684209</v>
      </c>
      <c r="O240" s="35">
        <f t="shared" si="53"/>
        <v>0.15873015873015872</v>
      </c>
      <c r="P240" s="35">
        <f t="shared" si="54"/>
        <v>2.0572263993316631E-2</v>
      </c>
    </row>
    <row r="241" spans="13:23" customFormat="1" x14ac:dyDescent="0.25">
      <c r="M241" t="s">
        <v>46</v>
      </c>
      <c r="N241" s="35">
        <f>'Version 5 (LE)'!AK73</f>
        <v>0.29276315789473689</v>
      </c>
      <c r="O241" s="35">
        <f t="shared" si="53"/>
        <v>0.33333333333333331</v>
      </c>
      <c r="P241" s="35">
        <f t="shared" si="54"/>
        <v>4.0570175438596423E-2</v>
      </c>
    </row>
    <row r="242" spans="13:23" customFormat="1" x14ac:dyDescent="0.25">
      <c r="M242" t="s">
        <v>47</v>
      </c>
      <c r="N242" s="35">
        <f>'Version 5 (LE)'!AK74</f>
        <v>0.50657894736842113</v>
      </c>
      <c r="O242" s="35">
        <f t="shared" si="53"/>
        <v>0.59523809523809523</v>
      </c>
      <c r="P242" s="35">
        <f t="shared" si="54"/>
        <v>8.8659147869674104E-2</v>
      </c>
    </row>
    <row r="243" spans="13:23" customFormat="1" x14ac:dyDescent="0.25">
      <c r="M243" t="s">
        <v>48</v>
      </c>
      <c r="N243" s="35">
        <f>'Version 5 (LE)'!AK75</f>
        <v>0.73355263157894746</v>
      </c>
      <c r="O243" s="35">
        <f t="shared" si="53"/>
        <v>0.79761904761904767</v>
      </c>
      <c r="P243" s="35">
        <f t="shared" si="54"/>
        <v>6.4066416040100216E-2</v>
      </c>
    </row>
    <row r="244" spans="13:23" customFormat="1" x14ac:dyDescent="0.25">
      <c r="M244" t="s">
        <v>49</v>
      </c>
      <c r="N244" s="35">
        <f>'Version 5 (LE)'!AK76</f>
        <v>0.83223684210526316</v>
      </c>
      <c r="O244" s="35">
        <f t="shared" si="53"/>
        <v>0.88492063492063489</v>
      </c>
      <c r="P244" s="35">
        <f t="shared" si="54"/>
        <v>5.2683792815371722E-2</v>
      </c>
    </row>
    <row r="245" spans="13:23" customFormat="1" x14ac:dyDescent="0.25">
      <c r="M245" t="s">
        <v>50</v>
      </c>
      <c r="N245" s="35">
        <f>'Version 5 (LE)'!AK77</f>
        <v>0.94407894736842102</v>
      </c>
      <c r="O245" s="35">
        <f t="shared" si="53"/>
        <v>0.94444444444444442</v>
      </c>
      <c r="P245" s="35">
        <f t="shared" si="54"/>
        <v>3.654970760234022E-4</v>
      </c>
    </row>
    <row r="246" spans="13:23" customFormat="1" x14ac:dyDescent="0.25">
      <c r="M246" t="s">
        <v>51</v>
      </c>
      <c r="N246" s="35">
        <f>'Version 5 (LE)'!AK78</f>
        <v>0.99342105263157898</v>
      </c>
      <c r="O246" s="35">
        <f t="shared" si="53"/>
        <v>0.96825396825396814</v>
      </c>
      <c r="P246" s="35">
        <f t="shared" si="54"/>
        <v>2.5167084377610838E-2</v>
      </c>
    </row>
    <row r="247" spans="13:23" customFormat="1" x14ac:dyDescent="0.25">
      <c r="M247" t="s">
        <v>52</v>
      </c>
      <c r="N247" s="35">
        <f>'Version 5 (LE)'!AK79</f>
        <v>1</v>
      </c>
      <c r="O247" s="35">
        <f t="shared" si="53"/>
        <v>0.99206349206349198</v>
      </c>
      <c r="P247" s="35">
        <f t="shared" si="54"/>
        <v>7.9365079365080193E-3</v>
      </c>
    </row>
    <row r="248" spans="13:23" customFormat="1" x14ac:dyDescent="0.25">
      <c r="M248" t="s">
        <v>53</v>
      </c>
      <c r="N248" s="35">
        <f>'Version 5 (LE)'!AK80</f>
        <v>1</v>
      </c>
      <c r="O248" s="35">
        <f t="shared" si="53"/>
        <v>0.99603174603174593</v>
      </c>
      <c r="P248" s="35">
        <f t="shared" si="54"/>
        <v>3.9682539682540652E-3</v>
      </c>
    </row>
    <row r="249" spans="13:23" customFormat="1" x14ac:dyDescent="0.25">
      <c r="M249" t="s">
        <v>54</v>
      </c>
      <c r="N249" s="35">
        <f>'Version 5 (LE)'!AK81</f>
        <v>1</v>
      </c>
      <c r="O249" s="35">
        <f t="shared" si="53"/>
        <v>0.99999999999999989</v>
      </c>
      <c r="P249" s="35">
        <f t="shared" si="54"/>
        <v>1.1102230246251565E-16</v>
      </c>
    </row>
    <row r="250" spans="13:23" customFormat="1" x14ac:dyDescent="0.25">
      <c r="M250" t="s">
        <v>15</v>
      </c>
      <c r="P250" s="35">
        <f>MAX(P235:P249)</f>
        <v>8.8659147869674104E-2</v>
      </c>
    </row>
    <row r="252" spans="13:23" customFormat="1" x14ac:dyDescent="0.25">
      <c r="M252" s="37" t="s">
        <v>191</v>
      </c>
      <c r="T252" t="s">
        <v>153</v>
      </c>
    </row>
    <row r="253" spans="13:23" customFormat="1" x14ac:dyDescent="0.25">
      <c r="M253" t="s">
        <v>160</v>
      </c>
      <c r="N253" t="s">
        <v>189</v>
      </c>
      <c r="O253" t="s">
        <v>182</v>
      </c>
      <c r="P253" t="s">
        <v>39</v>
      </c>
      <c r="T253" t="s">
        <v>145</v>
      </c>
      <c r="U253" t="s">
        <v>146</v>
      </c>
      <c r="V253" t="s">
        <v>150</v>
      </c>
    </row>
    <row r="254" spans="13:23" customFormat="1" x14ac:dyDescent="0.25">
      <c r="M254" t="s">
        <v>6</v>
      </c>
      <c r="N254" s="35">
        <f>'Version 5 (LE)'!AK30</f>
        <v>3.2894736842105261E-3</v>
      </c>
      <c r="O254" s="35">
        <f>N30</f>
        <v>2.3972602739726026E-2</v>
      </c>
      <c r="P254" s="35">
        <f t="shared" ref="P254:P261" si="55">ABS(N254-O254)</f>
        <v>2.06831290555155E-2</v>
      </c>
      <c r="T254">
        <v>0.1</v>
      </c>
      <c r="U254">
        <v>1.22</v>
      </c>
      <c r="V254">
        <f>SQRT((T259+T260)/(T259*T260))</f>
        <v>0.16018081887929686</v>
      </c>
      <c r="W254">
        <f>PRODUCT(V254, U254)</f>
        <v>0.19542059903274217</v>
      </c>
    </row>
    <row r="255" spans="13:23" customFormat="1" x14ac:dyDescent="0.25">
      <c r="M255" t="s">
        <v>7</v>
      </c>
      <c r="N255" s="35">
        <f>'Version 5 (LE)'!AK31</f>
        <v>1.0642414860681114E-2</v>
      </c>
      <c r="O255" s="35">
        <f t="shared" ref="O255:O305" si="56">N31</f>
        <v>8.5616438356164379E-2</v>
      </c>
      <c r="P255" s="35">
        <f t="shared" si="55"/>
        <v>7.4974023495483266E-2</v>
      </c>
      <c r="T255">
        <v>0.05</v>
      </c>
      <c r="U255">
        <v>1.36</v>
      </c>
      <c r="W255">
        <f>V254*U255</f>
        <v>0.21784591367584374</v>
      </c>
    </row>
    <row r="256" spans="13:23" customFormat="1" x14ac:dyDescent="0.25">
      <c r="M256" t="s">
        <v>8</v>
      </c>
      <c r="N256" s="35">
        <f>'Version 5 (LE)'!AK32</f>
        <v>0.30921052631578949</v>
      </c>
      <c r="O256" s="35">
        <f t="shared" si="56"/>
        <v>0.32191780821917809</v>
      </c>
      <c r="P256" s="35">
        <f t="shared" si="55"/>
        <v>1.2707281903388601E-2</v>
      </c>
      <c r="T256">
        <v>0.01</v>
      </c>
      <c r="U256">
        <v>1.63</v>
      </c>
      <c r="W256">
        <f>V254*U256</f>
        <v>0.26109473477325384</v>
      </c>
    </row>
    <row r="257" spans="13:22" customFormat="1" x14ac:dyDescent="0.25">
      <c r="M257" t="s">
        <v>9</v>
      </c>
      <c r="N257" s="35">
        <f>'Version 5 (LE)'!AK33</f>
        <v>0.69407894736842102</v>
      </c>
      <c r="O257" s="35">
        <f t="shared" si="56"/>
        <v>0.73630136986301364</v>
      </c>
      <c r="P257" s="35">
        <f t="shared" si="55"/>
        <v>4.2222422494592626E-2</v>
      </c>
      <c r="R257" t="s">
        <v>216</v>
      </c>
      <c r="V257" s="35">
        <f>MAX(P262, P272, P289, P306)</f>
        <v>7.4974023495483266E-2</v>
      </c>
    </row>
    <row r="258" spans="13:22" customFormat="1" x14ac:dyDescent="0.25">
      <c r="M258" t="s">
        <v>10</v>
      </c>
      <c r="N258" s="35">
        <f>'Version 5 (LE)'!AK34</f>
        <v>0.9078947368421052</v>
      </c>
      <c r="O258" s="35">
        <f t="shared" si="56"/>
        <v>0.88356164383561642</v>
      </c>
      <c r="P258" s="35">
        <f t="shared" si="55"/>
        <v>2.4333093006488782E-2</v>
      </c>
      <c r="T258" t="s">
        <v>147</v>
      </c>
    </row>
    <row r="259" spans="13:22" customFormat="1" x14ac:dyDescent="0.25">
      <c r="M259" t="s">
        <v>11</v>
      </c>
      <c r="N259" s="35">
        <f>'Version 5 (LE)'!AK35</f>
        <v>0.96381578947368418</v>
      </c>
      <c r="O259" s="35">
        <f t="shared" si="56"/>
        <v>0.94178082191780821</v>
      </c>
      <c r="P259" s="35">
        <f t="shared" si="55"/>
        <v>2.2034967555875973E-2</v>
      </c>
      <c r="S259" t="s">
        <v>190</v>
      </c>
      <c r="T259">
        <v>76</v>
      </c>
    </row>
    <row r="260" spans="13:22" customFormat="1" x14ac:dyDescent="0.25">
      <c r="M260" t="s">
        <v>12</v>
      </c>
      <c r="N260" s="35">
        <f>'Version 5 (LE)'!AK36</f>
        <v>0.98355263157894735</v>
      </c>
      <c r="O260" s="35">
        <f t="shared" si="56"/>
        <v>0.97602739726027399</v>
      </c>
      <c r="P260" s="35">
        <f t="shared" si="55"/>
        <v>7.5252343186733572E-3</v>
      </c>
      <c r="S260" t="s">
        <v>183</v>
      </c>
      <c r="T260">
        <v>80</v>
      </c>
    </row>
    <row r="261" spans="13:22" customFormat="1" x14ac:dyDescent="0.25">
      <c r="M261" t="s">
        <v>22</v>
      </c>
      <c r="N261" s="35">
        <f>'Version 5 (LE)'!AK37</f>
        <v>1</v>
      </c>
      <c r="O261" s="35">
        <f t="shared" si="56"/>
        <v>1</v>
      </c>
      <c r="P261" s="35">
        <f t="shared" si="55"/>
        <v>0</v>
      </c>
    </row>
    <row r="262" spans="13:22" customFormat="1" x14ac:dyDescent="0.25">
      <c r="M262" t="s">
        <v>15</v>
      </c>
      <c r="N262" s="35"/>
      <c r="O262" s="35"/>
      <c r="P262" s="35">
        <f>MAX(P254:P261)</f>
        <v>7.4974023495483266E-2</v>
      </c>
    </row>
    <row r="263" spans="13:22" customFormat="1" x14ac:dyDescent="0.25">
      <c r="M263" t="s">
        <v>161</v>
      </c>
      <c r="N263" s="35"/>
      <c r="O263" s="35"/>
    </row>
    <row r="264" spans="13:22" customFormat="1" x14ac:dyDescent="0.25">
      <c r="M264" t="s">
        <v>93</v>
      </c>
      <c r="N264" s="35">
        <f>'Version 5 (LE)'!AK40</f>
        <v>5.5921052631578941E-2</v>
      </c>
      <c r="O264" s="35">
        <f t="shared" si="56"/>
        <v>8.9041095890410954E-2</v>
      </c>
      <c r="P264" s="35">
        <f>ABS(N264-O264)</f>
        <v>3.3120043258832013E-2</v>
      </c>
    </row>
    <row r="265" spans="13:22" customFormat="1" x14ac:dyDescent="0.25">
      <c r="M265" t="s">
        <v>16</v>
      </c>
      <c r="N265" s="35">
        <f>'Version 5 (LE)'!AK41</f>
        <v>0.10855263157894735</v>
      </c>
      <c r="O265" s="35">
        <f t="shared" si="56"/>
        <v>0.1678082191780822</v>
      </c>
      <c r="P265" s="35">
        <f t="shared" ref="P265:P271" si="57">ABS(N265-O265)</f>
        <v>5.9255587599134851E-2</v>
      </c>
    </row>
    <row r="266" spans="13:22" customFormat="1" x14ac:dyDescent="0.25">
      <c r="M266" t="s">
        <v>17</v>
      </c>
      <c r="N266" s="35">
        <f>'Version 5 (LE)'!AK42</f>
        <v>0.23355263157894735</v>
      </c>
      <c r="O266" s="35">
        <f t="shared" si="56"/>
        <v>0.29794520547945202</v>
      </c>
      <c r="P266" s="35">
        <f t="shared" si="57"/>
        <v>6.4392573900504679E-2</v>
      </c>
    </row>
    <row r="267" spans="13:22" customFormat="1" x14ac:dyDescent="0.25">
      <c r="M267" t="s">
        <v>18</v>
      </c>
      <c r="N267" s="35">
        <f>'Version 5 (LE)'!AK43</f>
        <v>0.45065789473684215</v>
      </c>
      <c r="O267" s="35">
        <f t="shared" si="56"/>
        <v>0.47945205479452047</v>
      </c>
      <c r="P267" s="35">
        <f t="shared" si="57"/>
        <v>2.879416005767832E-2</v>
      </c>
    </row>
    <row r="268" spans="13:22" customFormat="1" x14ac:dyDescent="0.25">
      <c r="M268" t="s">
        <v>19</v>
      </c>
      <c r="N268" s="35">
        <f>'Version 5 (LE)'!AK44</f>
        <v>0.76973684210526327</v>
      </c>
      <c r="O268" s="35">
        <f t="shared" si="56"/>
        <v>0.78082191780821919</v>
      </c>
      <c r="P268" s="35">
        <f t="shared" si="57"/>
        <v>1.1085075702955915E-2</v>
      </c>
    </row>
    <row r="269" spans="13:22" customFormat="1" x14ac:dyDescent="0.25">
      <c r="M269" t="s">
        <v>20</v>
      </c>
      <c r="N269" s="35">
        <f>'Version 5 (LE)'!AK45</f>
        <v>0.90460526315789491</v>
      </c>
      <c r="O269" s="35">
        <f t="shared" si="56"/>
        <v>0.9178082191780822</v>
      </c>
      <c r="P269" s="35">
        <f t="shared" si="57"/>
        <v>1.3202956020187284E-2</v>
      </c>
    </row>
    <row r="270" spans="13:22" customFormat="1" x14ac:dyDescent="0.25">
      <c r="M270" t="s">
        <v>21</v>
      </c>
      <c r="N270" s="35">
        <f>'Version 5 (LE)'!AK46</f>
        <v>0.97697368421052655</v>
      </c>
      <c r="O270" s="35">
        <f t="shared" si="56"/>
        <v>0.97602739726027399</v>
      </c>
      <c r="P270" s="35">
        <f t="shared" si="57"/>
        <v>9.4628695025256171E-4</v>
      </c>
    </row>
    <row r="271" spans="13:22" customFormat="1" x14ac:dyDescent="0.25">
      <c r="M271" t="s">
        <v>23</v>
      </c>
      <c r="N271" s="35">
        <f>'Version 5 (LE)'!AK47</f>
        <v>1.0000000000000002</v>
      </c>
      <c r="O271" s="35">
        <f t="shared" si="56"/>
        <v>1</v>
      </c>
      <c r="P271" s="35">
        <f t="shared" si="57"/>
        <v>2.2204460492503131E-16</v>
      </c>
    </row>
    <row r="272" spans="13:22" customFormat="1" x14ac:dyDescent="0.25">
      <c r="M272" t="s">
        <v>15</v>
      </c>
      <c r="N272" s="35"/>
      <c r="O272" s="35"/>
      <c r="P272" s="35">
        <f>MAX(P264:P271)</f>
        <v>6.4392573900504679E-2</v>
      </c>
    </row>
    <row r="273" spans="13:16" customFormat="1" x14ac:dyDescent="0.25">
      <c r="M273" t="s">
        <v>162</v>
      </c>
      <c r="N273" s="35"/>
      <c r="O273" s="35"/>
    </row>
    <row r="274" spans="13:16" customFormat="1" x14ac:dyDescent="0.25">
      <c r="M274" t="s">
        <v>24</v>
      </c>
      <c r="N274" s="35">
        <f>'Version 5 (LE)'!AK50</f>
        <v>3.2894736842105261E-3</v>
      </c>
      <c r="O274" s="35">
        <f t="shared" si="56"/>
        <v>3.4246575342465752E-3</v>
      </c>
      <c r="P274" s="35">
        <f>ABS(N274-O274)</f>
        <v>1.3518385003604902E-4</v>
      </c>
    </row>
    <row r="275" spans="13:16" customFormat="1" x14ac:dyDescent="0.25">
      <c r="M275" t="s">
        <v>25</v>
      </c>
      <c r="N275" s="35">
        <f>'Version 5 (LE)'!AK51</f>
        <v>1.3157894736842105E-2</v>
      </c>
      <c r="O275" s="35">
        <f t="shared" si="56"/>
        <v>1.3698630136986301E-2</v>
      </c>
      <c r="P275" s="35">
        <f t="shared" ref="P275:P288" si="58">ABS(N275-O275)</f>
        <v>5.4073540014419608E-4</v>
      </c>
    </row>
    <row r="276" spans="13:16" customFormat="1" x14ac:dyDescent="0.25">
      <c r="M276" t="s">
        <v>26</v>
      </c>
      <c r="N276" s="35">
        <f>'Version 5 (LE)'!AK52</f>
        <v>1.9736842105263157E-2</v>
      </c>
      <c r="O276" s="35">
        <f t="shared" si="56"/>
        <v>2.7397260273972601E-2</v>
      </c>
      <c r="P276" s="35">
        <f t="shared" si="58"/>
        <v>7.6604181687094444E-3</v>
      </c>
    </row>
    <row r="277" spans="13:16" customFormat="1" x14ac:dyDescent="0.25">
      <c r="M277" t="s">
        <v>27</v>
      </c>
      <c r="N277" s="35">
        <f>'Version 5 (LE)'!AK53</f>
        <v>5.5921052631578941E-2</v>
      </c>
      <c r="O277" s="35">
        <f t="shared" si="56"/>
        <v>6.8493150684931503E-2</v>
      </c>
      <c r="P277" s="35">
        <f t="shared" si="58"/>
        <v>1.2572098053352562E-2</v>
      </c>
    </row>
    <row r="278" spans="13:16" customFormat="1" x14ac:dyDescent="0.25">
      <c r="M278" t="s">
        <v>28</v>
      </c>
      <c r="N278" s="35">
        <f>'Version 5 (LE)'!AK54</f>
        <v>9.5394736842105254E-2</v>
      </c>
      <c r="O278" s="35">
        <f t="shared" si="56"/>
        <v>0.1678082191780822</v>
      </c>
      <c r="P278" s="35">
        <f t="shared" si="58"/>
        <v>7.2413482335976942E-2</v>
      </c>
    </row>
    <row r="279" spans="13:16" customFormat="1" x14ac:dyDescent="0.25">
      <c r="M279" t="s">
        <v>29</v>
      </c>
      <c r="N279" s="35">
        <f>'Version 5 (LE)'!AK55</f>
        <v>0.21710526315789469</v>
      </c>
      <c r="O279" s="35">
        <f t="shared" si="56"/>
        <v>0.28767123287671237</v>
      </c>
      <c r="P279" s="35">
        <f t="shared" si="58"/>
        <v>7.0565969718817678E-2</v>
      </c>
    </row>
    <row r="280" spans="13:16" customFormat="1" x14ac:dyDescent="0.25">
      <c r="M280" t="s">
        <v>30</v>
      </c>
      <c r="N280" s="35">
        <f>'Version 5 (LE)'!AK56</f>
        <v>0.42434210526315785</v>
      </c>
      <c r="O280" s="35">
        <f t="shared" si="56"/>
        <v>0.42465753424657549</v>
      </c>
      <c r="P280" s="35">
        <f t="shared" si="58"/>
        <v>3.1542898341763159E-4</v>
      </c>
    </row>
    <row r="281" spans="13:16" customFormat="1" x14ac:dyDescent="0.25">
      <c r="M281" t="s">
        <v>31</v>
      </c>
      <c r="N281" s="35">
        <f>'Version 5 (LE)'!AK57</f>
        <v>0.7532894736842104</v>
      </c>
      <c r="O281" s="35">
        <f t="shared" si="56"/>
        <v>0.79452054794520577</v>
      </c>
      <c r="P281" s="35">
        <f t="shared" si="58"/>
        <v>4.1231074260995371E-2</v>
      </c>
    </row>
    <row r="282" spans="13:16" customFormat="1" x14ac:dyDescent="0.25">
      <c r="M282" t="s">
        <v>32</v>
      </c>
      <c r="N282" s="35">
        <f>'Version 5 (LE)'!AK58</f>
        <v>0.90460526315789458</v>
      </c>
      <c r="O282" s="35">
        <f t="shared" si="56"/>
        <v>0.91780821917808253</v>
      </c>
      <c r="P282" s="35">
        <f t="shared" si="58"/>
        <v>1.320295602018795E-2</v>
      </c>
    </row>
    <row r="283" spans="13:16" customFormat="1" x14ac:dyDescent="0.25">
      <c r="M283" t="s">
        <v>33</v>
      </c>
      <c r="N283" s="35">
        <f>'Version 5 (LE)'!AK59</f>
        <v>0.97039473684210509</v>
      </c>
      <c r="O283" s="35">
        <f t="shared" si="56"/>
        <v>0.97945205479452113</v>
      </c>
      <c r="P283" s="35">
        <f t="shared" si="58"/>
        <v>9.0573179524160441E-3</v>
      </c>
    </row>
    <row r="284" spans="13:16" customFormat="1" x14ac:dyDescent="0.25">
      <c r="M284" t="s">
        <v>34</v>
      </c>
      <c r="N284" s="35">
        <f>'Version 5 (LE)'!AK60</f>
        <v>0.97697368421052611</v>
      </c>
      <c r="O284" s="35">
        <f t="shared" si="56"/>
        <v>0.99315068493150749</v>
      </c>
      <c r="P284" s="35">
        <f t="shared" si="58"/>
        <v>1.6177000720981383E-2</v>
      </c>
    </row>
    <row r="285" spans="13:16" customFormat="1" x14ac:dyDescent="0.25">
      <c r="M285" t="s">
        <v>35</v>
      </c>
      <c r="N285" s="35">
        <f>'Version 5 (LE)'!AK61</f>
        <v>0.98684210526315763</v>
      </c>
      <c r="O285" s="35">
        <f t="shared" si="56"/>
        <v>1.0000000000000007</v>
      </c>
      <c r="P285" s="35">
        <f t="shared" si="58"/>
        <v>1.3157894736843034E-2</v>
      </c>
    </row>
    <row r="286" spans="13:16" customFormat="1" x14ac:dyDescent="0.25">
      <c r="M286" t="s">
        <v>36</v>
      </c>
      <c r="N286" s="35">
        <f>'Version 5 (LE)'!AK62</f>
        <v>0.98684210526315763</v>
      </c>
      <c r="O286" s="35">
        <f t="shared" si="56"/>
        <v>1.0000000000000007</v>
      </c>
      <c r="P286" s="35">
        <f t="shared" si="58"/>
        <v>1.3157894736843034E-2</v>
      </c>
    </row>
    <row r="287" spans="13:16" customFormat="1" x14ac:dyDescent="0.25">
      <c r="M287" t="s">
        <v>37</v>
      </c>
      <c r="N287" s="35">
        <f>'Version 5 (LE)'!AK63</f>
        <v>0.99013157894736814</v>
      </c>
      <c r="O287" s="35">
        <f t="shared" si="56"/>
        <v>1.0000000000000007</v>
      </c>
      <c r="P287" s="35">
        <f t="shared" si="58"/>
        <v>9.8684210526325256E-3</v>
      </c>
    </row>
    <row r="288" spans="13:16" customFormat="1" x14ac:dyDescent="0.25">
      <c r="M288" t="s">
        <v>38</v>
      </c>
      <c r="N288" s="35">
        <f>'Version 5 (LE)'!AK64</f>
        <v>0.99999999999999967</v>
      </c>
      <c r="O288" s="35">
        <f t="shared" si="56"/>
        <v>1.0000000000000007</v>
      </c>
      <c r="P288" s="35">
        <f t="shared" si="58"/>
        <v>9.9920072216264089E-16</v>
      </c>
    </row>
    <row r="289" spans="13:16" customFormat="1" x14ac:dyDescent="0.25">
      <c r="M289" t="s">
        <v>15</v>
      </c>
      <c r="N289" s="35"/>
      <c r="O289" s="35"/>
      <c r="P289" s="35">
        <f>MAX(P274:P288)</f>
        <v>7.2413482335976942E-2</v>
      </c>
    </row>
    <row r="290" spans="13:16" customFormat="1" x14ac:dyDescent="0.25">
      <c r="M290" t="s">
        <v>163</v>
      </c>
      <c r="N290" s="35"/>
      <c r="O290" s="35"/>
    </row>
    <row r="291" spans="13:16" customFormat="1" x14ac:dyDescent="0.25">
      <c r="M291" t="s">
        <v>40</v>
      </c>
      <c r="N291" s="35">
        <f>'Version 5 (LE)'!AK67</f>
        <v>3.2894736842105261E-3</v>
      </c>
      <c r="O291" s="35">
        <f t="shared" si="56"/>
        <v>1.0273972602739725E-2</v>
      </c>
      <c r="P291" s="35">
        <f>ABS(N291-O291)</f>
        <v>6.9844989185291993E-3</v>
      </c>
    </row>
    <row r="292" spans="13:16" customFormat="1" x14ac:dyDescent="0.25">
      <c r="M292" t="s">
        <v>41</v>
      </c>
      <c r="N292" s="35">
        <f>'Version 5 (LE)'!AK68</f>
        <v>3.2894736842105261E-3</v>
      </c>
      <c r="O292" s="35">
        <f t="shared" si="56"/>
        <v>2.0547945205479451E-2</v>
      </c>
      <c r="P292" s="35">
        <f t="shared" ref="P292:P305" si="59">ABS(N292-O292)</f>
        <v>1.7258471521268925E-2</v>
      </c>
    </row>
    <row r="293" spans="13:16" customFormat="1" x14ac:dyDescent="0.25">
      <c r="M293" t="s">
        <v>42</v>
      </c>
      <c r="N293" s="35">
        <f>'Version 5 (LE)'!AK69</f>
        <v>2.3026315789473683E-2</v>
      </c>
      <c r="O293" s="35">
        <f t="shared" si="56"/>
        <v>3.7671232876712327E-2</v>
      </c>
      <c r="P293" s="35">
        <f t="shared" si="59"/>
        <v>1.4644917087238644E-2</v>
      </c>
    </row>
    <row r="294" spans="13:16" customFormat="1" x14ac:dyDescent="0.25">
      <c r="M294" t="s">
        <v>43</v>
      </c>
      <c r="N294" s="35">
        <f>'Version 5 (LE)'!AK70</f>
        <v>3.9473684210526314E-2</v>
      </c>
      <c r="O294" s="35">
        <f t="shared" si="56"/>
        <v>7.1917808219178078E-2</v>
      </c>
      <c r="P294" s="35">
        <f t="shared" si="59"/>
        <v>3.2444124008651765E-2</v>
      </c>
    </row>
    <row r="295" spans="13:16" customFormat="1" x14ac:dyDescent="0.25">
      <c r="M295" t="s">
        <v>44</v>
      </c>
      <c r="N295" s="35">
        <f>'Version 5 (LE)'!AK71</f>
        <v>9.2105263157894718E-2</v>
      </c>
      <c r="O295" s="35">
        <f t="shared" si="56"/>
        <v>0.13698630136986301</v>
      </c>
      <c r="P295" s="35">
        <f t="shared" si="59"/>
        <v>4.4881038211968288E-2</v>
      </c>
    </row>
    <row r="296" spans="13:16" customFormat="1" x14ac:dyDescent="0.25">
      <c r="M296" t="s">
        <v>45</v>
      </c>
      <c r="N296" s="35">
        <f>'Version 5 (LE)'!AK72</f>
        <v>0.13815789473684209</v>
      </c>
      <c r="O296" s="35">
        <f t="shared" si="56"/>
        <v>0.19863013698630139</v>
      </c>
      <c r="P296" s="35">
        <f t="shared" si="59"/>
        <v>6.0472242249459296E-2</v>
      </c>
    </row>
    <row r="297" spans="13:16" customFormat="1" x14ac:dyDescent="0.25">
      <c r="M297" t="s">
        <v>46</v>
      </c>
      <c r="N297" s="35">
        <f>'Version 5 (LE)'!AK73</f>
        <v>0.29276315789473689</v>
      </c>
      <c r="O297" s="35">
        <f t="shared" si="56"/>
        <v>0.35958904109589046</v>
      </c>
      <c r="P297" s="35">
        <f t="shared" si="59"/>
        <v>6.6825883201153569E-2</v>
      </c>
    </row>
    <row r="298" spans="13:16" customFormat="1" x14ac:dyDescent="0.25">
      <c r="M298" t="s">
        <v>47</v>
      </c>
      <c r="N298" s="35">
        <f>'Version 5 (LE)'!AK74</f>
        <v>0.50657894736842113</v>
      </c>
      <c r="O298" s="35">
        <f t="shared" si="56"/>
        <v>0.48630136986301375</v>
      </c>
      <c r="P298" s="35">
        <f t="shared" si="59"/>
        <v>2.0277577505407374E-2</v>
      </c>
    </row>
    <row r="299" spans="13:16" customFormat="1" x14ac:dyDescent="0.25">
      <c r="M299" t="s">
        <v>48</v>
      </c>
      <c r="N299" s="35">
        <f>'Version 5 (LE)'!AK75</f>
        <v>0.73355263157894746</v>
      </c>
      <c r="O299" s="35">
        <f t="shared" si="56"/>
        <v>0.72260273972602751</v>
      </c>
      <c r="P299" s="35">
        <f t="shared" si="59"/>
        <v>1.0949891852919946E-2</v>
      </c>
    </row>
    <row r="300" spans="13:16" customFormat="1" x14ac:dyDescent="0.25">
      <c r="M300" t="s">
        <v>49</v>
      </c>
      <c r="N300" s="35">
        <f>'Version 5 (LE)'!AK76</f>
        <v>0.83223684210526316</v>
      </c>
      <c r="O300" s="35">
        <f t="shared" si="56"/>
        <v>0.84589041095890427</v>
      </c>
      <c r="P300" s="35">
        <f t="shared" si="59"/>
        <v>1.3653568853641107E-2</v>
      </c>
    </row>
    <row r="301" spans="13:16" customFormat="1" x14ac:dyDescent="0.25">
      <c r="M301" t="s">
        <v>50</v>
      </c>
      <c r="N301" s="35">
        <f>'Version 5 (LE)'!AK77</f>
        <v>0.94407894736842102</v>
      </c>
      <c r="O301" s="35">
        <f t="shared" si="56"/>
        <v>0.92465753424657549</v>
      </c>
      <c r="P301" s="35">
        <f t="shared" si="59"/>
        <v>1.9421413121845532E-2</v>
      </c>
    </row>
    <row r="302" spans="13:16" customFormat="1" x14ac:dyDescent="0.25">
      <c r="M302" t="s">
        <v>51</v>
      </c>
      <c r="N302" s="35">
        <f>'Version 5 (LE)'!AK78</f>
        <v>0.99342105263157898</v>
      </c>
      <c r="O302" s="35">
        <f t="shared" si="56"/>
        <v>0.95547945205479468</v>
      </c>
      <c r="P302" s="35">
        <f t="shared" si="59"/>
        <v>3.7941600576784307E-2</v>
      </c>
    </row>
    <row r="303" spans="13:16" customFormat="1" x14ac:dyDescent="0.25">
      <c r="M303" t="s">
        <v>52</v>
      </c>
      <c r="N303" s="35">
        <f>'Version 5 (LE)'!AK79</f>
        <v>1</v>
      </c>
      <c r="O303" s="35">
        <f t="shared" si="56"/>
        <v>0.98287671232876728</v>
      </c>
      <c r="P303" s="35">
        <f t="shared" si="59"/>
        <v>1.7123287671232723E-2</v>
      </c>
    </row>
    <row r="304" spans="13:16" customFormat="1" x14ac:dyDescent="0.25">
      <c r="M304" t="s">
        <v>53</v>
      </c>
      <c r="N304" s="35">
        <f>'Version 5 (LE)'!AK80</f>
        <v>1</v>
      </c>
      <c r="O304" s="35">
        <f t="shared" si="56"/>
        <v>0.98630136986301387</v>
      </c>
      <c r="P304" s="35">
        <f t="shared" si="59"/>
        <v>1.3698630136986134E-2</v>
      </c>
    </row>
    <row r="305" spans="13:23" customFormat="1" x14ac:dyDescent="0.25">
      <c r="M305" t="s">
        <v>54</v>
      </c>
      <c r="N305" s="35">
        <f>'Version 5 (LE)'!AK81</f>
        <v>1</v>
      </c>
      <c r="O305" s="35">
        <f t="shared" si="56"/>
        <v>1.0000000000000002</v>
      </c>
      <c r="P305" s="35">
        <f t="shared" si="59"/>
        <v>2.2204460492503131E-16</v>
      </c>
    </row>
    <row r="306" spans="13:23" customFormat="1" x14ac:dyDescent="0.25">
      <c r="M306" t="s">
        <v>15</v>
      </c>
      <c r="P306" s="35">
        <f>MAX(P291:P305)</f>
        <v>6.6825883201153569E-2</v>
      </c>
    </row>
    <row r="308" spans="13:23" customFormat="1" x14ac:dyDescent="0.25">
      <c r="M308" s="37" t="s">
        <v>192</v>
      </c>
      <c r="T308" t="s">
        <v>153</v>
      </c>
    </row>
    <row r="309" spans="13:23" customFormat="1" x14ac:dyDescent="0.25">
      <c r="M309" t="s">
        <v>160</v>
      </c>
      <c r="N309" t="s">
        <v>189</v>
      </c>
      <c r="O309" t="s">
        <v>14</v>
      </c>
      <c r="P309" t="s">
        <v>39</v>
      </c>
      <c r="T309" t="s">
        <v>145</v>
      </c>
      <c r="U309" t="s">
        <v>146</v>
      </c>
      <c r="V309" t="s">
        <v>150</v>
      </c>
    </row>
    <row r="310" spans="13:23" customFormat="1" x14ac:dyDescent="0.25">
      <c r="M310" t="s">
        <v>6</v>
      </c>
      <c r="N310" s="35">
        <f>N254</f>
        <v>3.2894736842105261E-3</v>
      </c>
      <c r="O310" s="35">
        <f>N142</f>
        <v>9.0909090909090905E-3</v>
      </c>
      <c r="P310" s="35">
        <f t="shared" ref="P310:P317" si="60">ABS(N310-O310)</f>
        <v>5.8014354066985643E-3</v>
      </c>
      <c r="T310">
        <v>0.1</v>
      </c>
      <c r="U310">
        <v>1.22</v>
      </c>
      <c r="V310">
        <f>SQRT((T315+T316)/(T315*T316))</f>
        <v>0.16387960481349839</v>
      </c>
      <c r="W310">
        <f>PRODUCT(V310, U310)</f>
        <v>0.19993311787246804</v>
      </c>
    </row>
    <row r="311" spans="13:23" customFormat="1" x14ac:dyDescent="0.25">
      <c r="M311" t="s">
        <v>7</v>
      </c>
      <c r="N311" s="35">
        <f t="shared" ref="N311:N361" si="61">N255</f>
        <v>1.0642414860681114E-2</v>
      </c>
      <c r="O311" s="35">
        <f t="shared" ref="O311:O361" si="62">N143</f>
        <v>6.8181818181818191E-2</v>
      </c>
      <c r="P311" s="35">
        <f t="shared" si="60"/>
        <v>5.7539403321137078E-2</v>
      </c>
      <c r="T311">
        <v>0.05</v>
      </c>
      <c r="U311">
        <v>1.36</v>
      </c>
      <c r="W311">
        <f>V310*U311</f>
        <v>0.22287626254635784</v>
      </c>
    </row>
    <row r="312" spans="13:23" customFormat="1" x14ac:dyDescent="0.25">
      <c r="M312" t="s">
        <v>8</v>
      </c>
      <c r="N312" s="35">
        <f t="shared" si="61"/>
        <v>0.30921052631578949</v>
      </c>
      <c r="O312" s="35">
        <f t="shared" si="62"/>
        <v>0.30909090909090908</v>
      </c>
      <c r="P312" s="35">
        <f t="shared" si="60"/>
        <v>1.1961722488040838E-4</v>
      </c>
      <c r="T312">
        <v>0.01</v>
      </c>
      <c r="U312">
        <v>1.63</v>
      </c>
      <c r="W312">
        <f>V310*U312</f>
        <v>0.26712375584600234</v>
      </c>
    </row>
    <row r="313" spans="13:23" customFormat="1" x14ac:dyDescent="0.25">
      <c r="M313" t="s">
        <v>9</v>
      </c>
      <c r="N313" s="35">
        <f t="shared" si="61"/>
        <v>0.69407894736842102</v>
      </c>
      <c r="O313" s="35">
        <f t="shared" si="62"/>
        <v>0.61818181818181817</v>
      </c>
      <c r="P313" s="35">
        <f t="shared" si="60"/>
        <v>7.5897129186602852E-2</v>
      </c>
      <c r="R313" t="s">
        <v>216</v>
      </c>
      <c r="V313" s="35">
        <f>MAX(P318, P328, P345, P362)</f>
        <v>0.18917464114832538</v>
      </c>
    </row>
    <row r="314" spans="13:23" customFormat="1" x14ac:dyDescent="0.25">
      <c r="M314" t="s">
        <v>10</v>
      </c>
      <c r="N314" s="35">
        <f t="shared" si="61"/>
        <v>0.9078947368421052</v>
      </c>
      <c r="O314" s="35">
        <f t="shared" si="62"/>
        <v>0.78181818181818175</v>
      </c>
      <c r="P314" s="35">
        <f t="shared" si="60"/>
        <v>0.12607655502392345</v>
      </c>
      <c r="T314" t="s">
        <v>147</v>
      </c>
    </row>
    <row r="315" spans="13:23" customFormat="1" x14ac:dyDescent="0.25">
      <c r="M315" t="s">
        <v>11</v>
      </c>
      <c r="N315" s="35">
        <f t="shared" si="61"/>
        <v>0.96381578947368418</v>
      </c>
      <c r="O315" s="35">
        <f t="shared" si="62"/>
        <v>0.96818181818181814</v>
      </c>
      <c r="P315" s="35">
        <f t="shared" si="60"/>
        <v>4.3660287081339622E-3</v>
      </c>
      <c r="S315" t="s">
        <v>190</v>
      </c>
      <c r="T315">
        <v>76</v>
      </c>
    </row>
    <row r="316" spans="13:23" customFormat="1" x14ac:dyDescent="0.25">
      <c r="M316" t="s">
        <v>12</v>
      </c>
      <c r="N316" s="35">
        <f t="shared" si="61"/>
        <v>0.98355263157894735</v>
      </c>
      <c r="O316" s="35">
        <f t="shared" si="62"/>
        <v>0.99545454545454537</v>
      </c>
      <c r="P316" s="35">
        <f t="shared" si="60"/>
        <v>1.1901913875598025E-2</v>
      </c>
      <c r="S316" t="s">
        <v>149</v>
      </c>
      <c r="T316">
        <v>73</v>
      </c>
    </row>
    <row r="317" spans="13:23" customFormat="1" x14ac:dyDescent="0.25">
      <c r="M317" t="s">
        <v>22</v>
      </c>
      <c r="N317" s="35">
        <f t="shared" si="61"/>
        <v>1</v>
      </c>
      <c r="O317" s="35">
        <f t="shared" si="62"/>
        <v>0.99999999999999989</v>
      </c>
      <c r="P317" s="35">
        <f t="shared" si="60"/>
        <v>1.1102230246251565E-16</v>
      </c>
    </row>
    <row r="318" spans="13:23" customFormat="1" x14ac:dyDescent="0.25">
      <c r="M318" t="s">
        <v>15</v>
      </c>
      <c r="N318" s="35"/>
      <c r="O318" s="35"/>
      <c r="P318" s="35">
        <f>MAX(P310:P317)</f>
        <v>0.12607655502392345</v>
      </c>
    </row>
    <row r="319" spans="13:23" customFormat="1" x14ac:dyDescent="0.25">
      <c r="M319" t="s">
        <v>161</v>
      </c>
      <c r="N319" s="35"/>
      <c r="O319" s="35"/>
    </row>
    <row r="320" spans="13:23" customFormat="1" x14ac:dyDescent="0.25">
      <c r="M320" t="s">
        <v>93</v>
      </c>
      <c r="N320" s="35">
        <f t="shared" si="61"/>
        <v>5.5921052631578941E-2</v>
      </c>
      <c r="O320" s="35">
        <f t="shared" si="62"/>
        <v>9.5454545454545459E-2</v>
      </c>
      <c r="P320" s="35">
        <f>ABS(N320-O320)</f>
        <v>3.9533492822966518E-2</v>
      </c>
    </row>
    <row r="321" spans="13:16" customFormat="1" x14ac:dyDescent="0.25">
      <c r="M321" t="s">
        <v>16</v>
      </c>
      <c r="N321" s="35">
        <f t="shared" si="61"/>
        <v>0.10855263157894735</v>
      </c>
      <c r="O321" s="35">
        <f t="shared" si="62"/>
        <v>0.16363636363636364</v>
      </c>
      <c r="P321" s="35">
        <f t="shared" ref="P321:P327" si="63">ABS(N321-O321)</f>
        <v>5.508373205741629E-2</v>
      </c>
    </row>
    <row r="322" spans="13:16" customFormat="1" x14ac:dyDescent="0.25">
      <c r="M322" t="s">
        <v>17</v>
      </c>
      <c r="N322" s="35">
        <f t="shared" si="61"/>
        <v>0.23355263157894735</v>
      </c>
      <c r="O322" s="35">
        <f t="shared" si="62"/>
        <v>0.42272727272727273</v>
      </c>
      <c r="P322" s="35">
        <f t="shared" si="63"/>
        <v>0.18917464114832538</v>
      </c>
    </row>
    <row r="323" spans="13:16" customFormat="1" x14ac:dyDescent="0.25">
      <c r="M323" t="s">
        <v>18</v>
      </c>
      <c r="N323" s="35">
        <f t="shared" si="61"/>
        <v>0.45065789473684215</v>
      </c>
      <c r="O323" s="35">
        <f t="shared" si="62"/>
        <v>0.56363636363636371</v>
      </c>
      <c r="P323" s="35">
        <f t="shared" si="63"/>
        <v>0.11297846889952157</v>
      </c>
    </row>
    <row r="324" spans="13:16" customFormat="1" x14ac:dyDescent="0.25">
      <c r="M324" t="s">
        <v>19</v>
      </c>
      <c r="N324" s="35">
        <f t="shared" si="61"/>
        <v>0.76973684210526327</v>
      </c>
      <c r="O324" s="35">
        <f t="shared" si="62"/>
        <v>0.81818181818181823</v>
      </c>
      <c r="P324" s="35">
        <f t="shared" si="63"/>
        <v>4.8444976076554958E-2</v>
      </c>
    </row>
    <row r="325" spans="13:16" customFormat="1" x14ac:dyDescent="0.25">
      <c r="M325" t="s">
        <v>20</v>
      </c>
      <c r="N325" s="35">
        <f t="shared" si="61"/>
        <v>0.90460526315789491</v>
      </c>
      <c r="O325" s="35">
        <f t="shared" si="62"/>
        <v>0.95000000000000007</v>
      </c>
      <c r="P325" s="35">
        <f t="shared" si="63"/>
        <v>4.5394736842105154E-2</v>
      </c>
    </row>
    <row r="326" spans="13:16" customFormat="1" x14ac:dyDescent="0.25">
      <c r="M326" t="s">
        <v>21</v>
      </c>
      <c r="N326" s="35">
        <f t="shared" si="61"/>
        <v>0.97697368421052655</v>
      </c>
      <c r="O326" s="35">
        <f t="shared" si="62"/>
        <v>0.99090909090909096</v>
      </c>
      <c r="P326" s="35">
        <f t="shared" si="63"/>
        <v>1.3935406698564412E-2</v>
      </c>
    </row>
    <row r="327" spans="13:16" customFormat="1" x14ac:dyDescent="0.25">
      <c r="M327" t="s">
        <v>23</v>
      </c>
      <c r="N327" s="35">
        <f t="shared" si="61"/>
        <v>1.0000000000000002</v>
      </c>
      <c r="O327" s="35">
        <f t="shared" si="62"/>
        <v>1</v>
      </c>
      <c r="P327" s="35">
        <f t="shared" si="63"/>
        <v>2.2204460492503131E-16</v>
      </c>
    </row>
    <row r="328" spans="13:16" customFormat="1" x14ac:dyDescent="0.25">
      <c r="M328" t="s">
        <v>15</v>
      </c>
      <c r="N328" s="35"/>
      <c r="O328" s="35"/>
      <c r="P328" s="35">
        <f>MAX(P320:P327)</f>
        <v>0.18917464114832538</v>
      </c>
    </row>
    <row r="329" spans="13:16" customFormat="1" x14ac:dyDescent="0.25">
      <c r="M329" t="s">
        <v>162</v>
      </c>
      <c r="N329" s="35"/>
      <c r="O329" s="35"/>
    </row>
    <row r="330" spans="13:16" customFormat="1" x14ac:dyDescent="0.25">
      <c r="M330" t="s">
        <v>24</v>
      </c>
      <c r="N330" s="35">
        <f t="shared" si="61"/>
        <v>3.2894736842105261E-3</v>
      </c>
      <c r="O330" s="35">
        <f t="shared" si="62"/>
        <v>0</v>
      </c>
      <c r="P330" s="35">
        <f>ABS(N330-O330)</f>
        <v>3.2894736842105261E-3</v>
      </c>
    </row>
    <row r="331" spans="13:16" customFormat="1" x14ac:dyDescent="0.25">
      <c r="M331" t="s">
        <v>25</v>
      </c>
      <c r="N331" s="35">
        <f t="shared" si="61"/>
        <v>1.3157894736842105E-2</v>
      </c>
      <c r="O331" s="35">
        <f t="shared" si="62"/>
        <v>1.3636363636363636E-2</v>
      </c>
      <c r="P331" s="35">
        <f t="shared" ref="P331:P344" si="64">ABS(N331-O331)</f>
        <v>4.7846889952153117E-4</v>
      </c>
    </row>
    <row r="332" spans="13:16" customFormat="1" x14ac:dyDescent="0.25">
      <c r="M332" t="s">
        <v>26</v>
      </c>
      <c r="N332" s="35">
        <f t="shared" si="61"/>
        <v>1.9736842105263157E-2</v>
      </c>
      <c r="O332" s="35">
        <f t="shared" si="62"/>
        <v>5.4545454545454543E-2</v>
      </c>
      <c r="P332" s="35">
        <f t="shared" si="64"/>
        <v>3.4808612440191386E-2</v>
      </c>
    </row>
    <row r="333" spans="13:16" customFormat="1" x14ac:dyDescent="0.25">
      <c r="M333" t="s">
        <v>27</v>
      </c>
      <c r="N333" s="35">
        <f t="shared" si="61"/>
        <v>5.5921052631578941E-2</v>
      </c>
      <c r="O333" s="35">
        <f t="shared" si="62"/>
        <v>8.6363636363636365E-2</v>
      </c>
      <c r="P333" s="35">
        <f t="shared" si="64"/>
        <v>3.0442583732057424E-2</v>
      </c>
    </row>
    <row r="334" spans="13:16" customFormat="1" x14ac:dyDescent="0.25">
      <c r="M334" t="s">
        <v>28</v>
      </c>
      <c r="N334" s="35">
        <f t="shared" si="61"/>
        <v>9.5394736842105254E-2</v>
      </c>
      <c r="O334" s="35">
        <f t="shared" si="62"/>
        <v>0.19545454545454546</v>
      </c>
      <c r="P334" s="35">
        <f t="shared" si="64"/>
        <v>0.10005980861244021</v>
      </c>
    </row>
    <row r="335" spans="13:16" customFormat="1" x14ac:dyDescent="0.25">
      <c r="M335" t="s">
        <v>29</v>
      </c>
      <c r="N335" s="35">
        <f t="shared" si="61"/>
        <v>0.21710526315789469</v>
      </c>
      <c r="O335" s="35">
        <f t="shared" si="62"/>
        <v>0.3454545454545454</v>
      </c>
      <c r="P335" s="35">
        <f t="shared" si="64"/>
        <v>0.12834928229665071</v>
      </c>
    </row>
    <row r="336" spans="13:16" customFormat="1" x14ac:dyDescent="0.25">
      <c r="M336" t="s">
        <v>30</v>
      </c>
      <c r="N336" s="35">
        <f t="shared" si="61"/>
        <v>0.42434210526315785</v>
      </c>
      <c r="O336" s="35">
        <f t="shared" si="62"/>
        <v>0.53181818181818175</v>
      </c>
      <c r="P336" s="35">
        <f t="shared" si="64"/>
        <v>0.10747607655502389</v>
      </c>
    </row>
    <row r="337" spans="13:16" customFormat="1" x14ac:dyDescent="0.25">
      <c r="M337" t="s">
        <v>31</v>
      </c>
      <c r="N337" s="35">
        <f t="shared" si="61"/>
        <v>0.7532894736842104</v>
      </c>
      <c r="O337" s="35">
        <f t="shared" si="62"/>
        <v>0.75909090909090904</v>
      </c>
      <c r="P337" s="35">
        <f t="shared" si="64"/>
        <v>5.8014354066986407E-3</v>
      </c>
    </row>
    <row r="338" spans="13:16" customFormat="1" x14ac:dyDescent="0.25">
      <c r="M338" t="s">
        <v>32</v>
      </c>
      <c r="N338" s="35">
        <f t="shared" si="61"/>
        <v>0.90460526315789458</v>
      </c>
      <c r="O338" s="35">
        <f t="shared" si="62"/>
        <v>0.86363636363636354</v>
      </c>
      <c r="P338" s="35">
        <f t="shared" si="64"/>
        <v>4.0968899521531044E-2</v>
      </c>
    </row>
    <row r="339" spans="13:16" customFormat="1" x14ac:dyDescent="0.25">
      <c r="M339" t="s">
        <v>33</v>
      </c>
      <c r="N339" s="35">
        <f t="shared" si="61"/>
        <v>0.97039473684210509</v>
      </c>
      <c r="O339" s="35">
        <f t="shared" si="62"/>
        <v>0.92727272727272714</v>
      </c>
      <c r="P339" s="35">
        <f t="shared" si="64"/>
        <v>4.312200956937795E-2</v>
      </c>
    </row>
    <row r="340" spans="13:16" customFormat="1" x14ac:dyDescent="0.25">
      <c r="M340" t="s">
        <v>34</v>
      </c>
      <c r="N340" s="35">
        <f t="shared" si="61"/>
        <v>0.97697368421052611</v>
      </c>
      <c r="O340" s="35">
        <f t="shared" si="62"/>
        <v>0.97727272727272707</v>
      </c>
      <c r="P340" s="35">
        <f t="shared" si="64"/>
        <v>2.9904306220096544E-4</v>
      </c>
    </row>
    <row r="341" spans="13:16" customFormat="1" x14ac:dyDescent="0.25">
      <c r="M341" t="s">
        <v>35</v>
      </c>
      <c r="N341" s="35">
        <f t="shared" si="61"/>
        <v>0.98684210526315763</v>
      </c>
      <c r="O341" s="35">
        <f t="shared" si="62"/>
        <v>0.99999999999999967</v>
      </c>
      <c r="P341" s="35">
        <f t="shared" si="64"/>
        <v>1.3157894736842035E-2</v>
      </c>
    </row>
    <row r="342" spans="13:16" customFormat="1" x14ac:dyDescent="0.25">
      <c r="M342" t="s">
        <v>36</v>
      </c>
      <c r="N342" s="35">
        <f t="shared" si="61"/>
        <v>0.98684210526315763</v>
      </c>
      <c r="O342" s="35">
        <f t="shared" si="62"/>
        <v>0.99999999999999967</v>
      </c>
      <c r="P342" s="35">
        <f t="shared" si="64"/>
        <v>1.3157894736842035E-2</v>
      </c>
    </row>
    <row r="343" spans="13:16" customFormat="1" x14ac:dyDescent="0.25">
      <c r="M343" t="s">
        <v>37</v>
      </c>
      <c r="N343" s="35">
        <f t="shared" si="61"/>
        <v>0.99013157894736814</v>
      </c>
      <c r="O343" s="35">
        <f t="shared" si="62"/>
        <v>0.99999999999999967</v>
      </c>
      <c r="P343" s="35">
        <f t="shared" si="64"/>
        <v>9.8684210526315264E-3</v>
      </c>
    </row>
    <row r="344" spans="13:16" customFormat="1" x14ac:dyDescent="0.25">
      <c r="M344" t="s">
        <v>38</v>
      </c>
      <c r="N344" s="35">
        <f t="shared" si="61"/>
        <v>0.99999999999999967</v>
      </c>
      <c r="O344" s="35">
        <f t="shared" si="62"/>
        <v>0.99999999999999967</v>
      </c>
      <c r="P344" s="35">
        <f t="shared" si="64"/>
        <v>0</v>
      </c>
    </row>
    <row r="345" spans="13:16" customFormat="1" x14ac:dyDescent="0.25">
      <c r="M345" t="s">
        <v>15</v>
      </c>
      <c r="N345" s="35"/>
      <c r="O345" s="35"/>
      <c r="P345" s="35">
        <f>MAX(P330:P344)</f>
        <v>0.12834928229665071</v>
      </c>
    </row>
    <row r="346" spans="13:16" customFormat="1" x14ac:dyDescent="0.25">
      <c r="M346" t="s">
        <v>163</v>
      </c>
      <c r="N346" s="35"/>
      <c r="O346" s="35"/>
    </row>
    <row r="347" spans="13:16" customFormat="1" x14ac:dyDescent="0.25">
      <c r="M347" t="s">
        <v>40</v>
      </c>
      <c r="N347" s="35">
        <f t="shared" si="61"/>
        <v>3.2894736842105261E-3</v>
      </c>
      <c r="O347" s="35">
        <f t="shared" si="62"/>
        <v>4.5454545454545452E-3</v>
      </c>
      <c r="P347" s="35">
        <f>ABS(N347-O347)</f>
        <v>1.2559808612440191E-3</v>
      </c>
    </row>
    <row r="348" spans="13:16" customFormat="1" x14ac:dyDescent="0.25">
      <c r="M348" t="s">
        <v>41</v>
      </c>
      <c r="N348" s="35">
        <f t="shared" si="61"/>
        <v>3.2894736842105261E-3</v>
      </c>
      <c r="O348" s="35">
        <f t="shared" si="62"/>
        <v>4.5454545454545452E-3</v>
      </c>
      <c r="P348" s="35">
        <f t="shared" ref="P348:P361" si="65">ABS(N348-O348)</f>
        <v>1.2559808612440191E-3</v>
      </c>
    </row>
    <row r="349" spans="13:16" customFormat="1" x14ac:dyDescent="0.25">
      <c r="M349" t="s">
        <v>42</v>
      </c>
      <c r="N349" s="35">
        <f t="shared" si="61"/>
        <v>2.3026315789473683E-2</v>
      </c>
      <c r="O349" s="35">
        <f t="shared" si="62"/>
        <v>2.2727272727272728E-2</v>
      </c>
      <c r="P349" s="35">
        <f t="shared" si="65"/>
        <v>2.9904306220095503E-4</v>
      </c>
    </row>
    <row r="350" spans="13:16" customFormat="1" x14ac:dyDescent="0.25">
      <c r="M350" t="s">
        <v>43</v>
      </c>
      <c r="N350" s="35">
        <f t="shared" si="61"/>
        <v>3.9473684210526314E-2</v>
      </c>
      <c r="O350" s="35">
        <f t="shared" si="62"/>
        <v>4.9999999999999996E-2</v>
      </c>
      <c r="P350" s="35">
        <f t="shared" si="65"/>
        <v>1.0526315789473682E-2</v>
      </c>
    </row>
    <row r="351" spans="13:16" customFormat="1" x14ac:dyDescent="0.25">
      <c r="M351" t="s">
        <v>44</v>
      </c>
      <c r="N351" s="35">
        <f t="shared" si="61"/>
        <v>9.2105263157894718E-2</v>
      </c>
      <c r="O351" s="35">
        <f t="shared" si="62"/>
        <v>0.14545454545454548</v>
      </c>
      <c r="P351" s="35">
        <f t="shared" si="65"/>
        <v>5.3349282296650757E-2</v>
      </c>
    </row>
    <row r="352" spans="13:16" customFormat="1" x14ac:dyDescent="0.25">
      <c r="M352" t="s">
        <v>45</v>
      </c>
      <c r="N352" s="35">
        <f t="shared" si="61"/>
        <v>0.13815789473684209</v>
      </c>
      <c r="O352" s="35">
        <f t="shared" si="62"/>
        <v>0.27727272727272728</v>
      </c>
      <c r="P352" s="35">
        <f t="shared" si="65"/>
        <v>0.13911483253588519</v>
      </c>
    </row>
    <row r="353" spans="13:23" customFormat="1" x14ac:dyDescent="0.25">
      <c r="M353" t="s">
        <v>46</v>
      </c>
      <c r="N353" s="35">
        <f t="shared" si="61"/>
        <v>0.29276315789473689</v>
      </c>
      <c r="O353" s="35">
        <f t="shared" si="62"/>
        <v>0.44545454545454544</v>
      </c>
      <c r="P353" s="35">
        <f t="shared" si="65"/>
        <v>0.15269138755980854</v>
      </c>
    </row>
    <row r="354" spans="13:23" customFormat="1" x14ac:dyDescent="0.25">
      <c r="M354" t="s">
        <v>47</v>
      </c>
      <c r="N354" s="35">
        <f t="shared" si="61"/>
        <v>0.50657894736842113</v>
      </c>
      <c r="O354" s="35">
        <f t="shared" si="62"/>
        <v>0.65</v>
      </c>
      <c r="P354" s="35">
        <f t="shared" si="65"/>
        <v>0.14342105263157889</v>
      </c>
    </row>
    <row r="355" spans="13:23" customFormat="1" x14ac:dyDescent="0.25">
      <c r="M355" t="s">
        <v>48</v>
      </c>
      <c r="N355" s="35">
        <f t="shared" si="61"/>
        <v>0.73355263157894746</v>
      </c>
      <c r="O355" s="35">
        <f t="shared" si="62"/>
        <v>0.80454545454545445</v>
      </c>
      <c r="P355" s="35">
        <f t="shared" si="65"/>
        <v>7.0992822966506997E-2</v>
      </c>
    </row>
    <row r="356" spans="13:23" customFormat="1" x14ac:dyDescent="0.25">
      <c r="M356" t="s">
        <v>49</v>
      </c>
      <c r="N356" s="35">
        <f t="shared" si="61"/>
        <v>0.83223684210526316</v>
      </c>
      <c r="O356" s="35">
        <f t="shared" si="62"/>
        <v>0.8999999999999998</v>
      </c>
      <c r="P356" s="35">
        <f t="shared" si="65"/>
        <v>6.7763157894736636E-2</v>
      </c>
    </row>
    <row r="357" spans="13:23" customFormat="1" x14ac:dyDescent="0.25">
      <c r="M357" t="s">
        <v>50</v>
      </c>
      <c r="N357" s="35">
        <f t="shared" si="61"/>
        <v>0.94407894736842102</v>
      </c>
      <c r="O357" s="35">
        <f t="shared" si="62"/>
        <v>0.9636363636363634</v>
      </c>
      <c r="P357" s="35">
        <f t="shared" si="65"/>
        <v>1.9557416267942385E-2</v>
      </c>
    </row>
    <row r="358" spans="13:23" customFormat="1" x14ac:dyDescent="0.25">
      <c r="M358" t="s">
        <v>51</v>
      </c>
      <c r="N358" s="35">
        <f t="shared" si="61"/>
        <v>0.99342105263157898</v>
      </c>
      <c r="O358" s="35">
        <f t="shared" si="62"/>
        <v>0.99090909090909063</v>
      </c>
      <c r="P358" s="35">
        <f t="shared" si="65"/>
        <v>2.5119617224883539E-3</v>
      </c>
    </row>
    <row r="359" spans="13:23" customFormat="1" x14ac:dyDescent="0.25">
      <c r="M359" t="s">
        <v>52</v>
      </c>
      <c r="N359" s="35">
        <f t="shared" si="61"/>
        <v>1</v>
      </c>
      <c r="O359" s="35">
        <f t="shared" si="62"/>
        <v>0.99545454545454515</v>
      </c>
      <c r="P359" s="35">
        <f t="shared" si="65"/>
        <v>4.5454545454548523E-3</v>
      </c>
    </row>
    <row r="360" spans="13:23" customFormat="1" x14ac:dyDescent="0.25">
      <c r="M360" t="s">
        <v>53</v>
      </c>
      <c r="N360" s="35">
        <f t="shared" si="61"/>
        <v>1</v>
      </c>
      <c r="O360" s="35">
        <f t="shared" si="62"/>
        <v>0.99999999999999967</v>
      </c>
      <c r="P360" s="35">
        <f t="shared" si="65"/>
        <v>3.3306690738754696E-16</v>
      </c>
    </row>
    <row r="361" spans="13:23" customFormat="1" x14ac:dyDescent="0.25">
      <c r="M361" t="s">
        <v>54</v>
      </c>
      <c r="N361" s="35">
        <f t="shared" si="61"/>
        <v>1</v>
      </c>
      <c r="O361" s="35">
        <f t="shared" si="62"/>
        <v>0.99999999999999967</v>
      </c>
      <c r="P361" s="35">
        <f t="shared" si="65"/>
        <v>3.3306690738754696E-16</v>
      </c>
    </row>
    <row r="362" spans="13:23" customFormat="1" x14ac:dyDescent="0.25">
      <c r="M362" t="s">
        <v>15</v>
      </c>
      <c r="P362" s="35">
        <f>MAX(P347:P361)</f>
        <v>0.15269138755980854</v>
      </c>
    </row>
    <row r="364" spans="13:23" customFormat="1" x14ac:dyDescent="0.25">
      <c r="M364" s="37" t="s">
        <v>193</v>
      </c>
      <c r="T364" t="s">
        <v>153</v>
      </c>
    </row>
    <row r="365" spans="13:23" customFormat="1" x14ac:dyDescent="0.25">
      <c r="M365" t="s">
        <v>160</v>
      </c>
      <c r="N365" t="s">
        <v>189</v>
      </c>
      <c r="O365" t="s">
        <v>13</v>
      </c>
      <c r="P365" t="s">
        <v>39</v>
      </c>
      <c r="T365" t="s">
        <v>145</v>
      </c>
      <c r="U365" t="s">
        <v>146</v>
      </c>
      <c r="V365" t="s">
        <v>150</v>
      </c>
    </row>
    <row r="366" spans="13:23" customFormat="1" x14ac:dyDescent="0.25">
      <c r="M366" t="s">
        <v>6</v>
      </c>
      <c r="N366" s="35">
        <f>N310</f>
        <v>3.2894736842105261E-3</v>
      </c>
      <c r="O366" s="35">
        <f>N86</f>
        <v>0</v>
      </c>
      <c r="P366" s="35">
        <f t="shared" ref="P366:P373" si="66">ABS(N366-O366)</f>
        <v>3.2894736842105261E-3</v>
      </c>
      <c r="T366">
        <v>0.1</v>
      </c>
      <c r="U366">
        <v>1.22</v>
      </c>
      <c r="V366">
        <f>SQRT((T371+T372)/(T371*T372))</f>
        <v>0.15578512717186199</v>
      </c>
      <c r="W366">
        <f>PRODUCT(V366, U366)</f>
        <v>0.19005785514967163</v>
      </c>
    </row>
    <row r="367" spans="13:23" customFormat="1" x14ac:dyDescent="0.25">
      <c r="M367" t="s">
        <v>7</v>
      </c>
      <c r="N367" s="35">
        <f t="shared" ref="N367:N417" si="67">N311</f>
        <v>1.0642414860681114E-2</v>
      </c>
      <c r="O367" s="35">
        <f t="shared" ref="O367:O417" si="68">N87</f>
        <v>6.9444444444444448E-2</v>
      </c>
      <c r="P367" s="35">
        <f t="shared" si="66"/>
        <v>5.8802029583763335E-2</v>
      </c>
      <c r="T367">
        <v>0.05</v>
      </c>
      <c r="U367">
        <v>1.36</v>
      </c>
      <c r="W367">
        <f>V366*U367</f>
        <v>0.21186777295373233</v>
      </c>
    </row>
    <row r="368" spans="13:23" customFormat="1" x14ac:dyDescent="0.25">
      <c r="M368" t="s">
        <v>8</v>
      </c>
      <c r="N368" s="35">
        <f t="shared" si="67"/>
        <v>0.30921052631578949</v>
      </c>
      <c r="O368" s="35">
        <f t="shared" si="68"/>
        <v>0.28472222222222221</v>
      </c>
      <c r="P368" s="35">
        <f t="shared" si="66"/>
        <v>2.4488304093567281E-2</v>
      </c>
      <c r="T368">
        <v>0.01</v>
      </c>
      <c r="U368">
        <v>1.63</v>
      </c>
      <c r="W368">
        <f>V366*U368</f>
        <v>0.25392975729013501</v>
      </c>
    </row>
    <row r="369" spans="13:22" customFormat="1" x14ac:dyDescent="0.25">
      <c r="M369" t="s">
        <v>9</v>
      </c>
      <c r="N369" s="35">
        <f t="shared" si="67"/>
        <v>0.69407894736842102</v>
      </c>
      <c r="O369" s="35">
        <f t="shared" si="68"/>
        <v>0.71527777777777768</v>
      </c>
      <c r="P369" s="35">
        <f t="shared" si="66"/>
        <v>2.1198830409356662E-2</v>
      </c>
      <c r="R369" t="s">
        <v>216</v>
      </c>
      <c r="V369" s="35">
        <f>MAX(P374, P384, P401, P418)</f>
        <v>0.10628654970760235</v>
      </c>
    </row>
    <row r="370" spans="13:22" customFormat="1" x14ac:dyDescent="0.25">
      <c r="M370" t="s">
        <v>10</v>
      </c>
      <c r="N370" s="35">
        <f t="shared" si="67"/>
        <v>0.9078947368421052</v>
      </c>
      <c r="O370" s="35">
        <f t="shared" si="68"/>
        <v>0.87499999999999989</v>
      </c>
      <c r="P370" s="35">
        <f t="shared" si="66"/>
        <v>3.289473684210531E-2</v>
      </c>
      <c r="T370" t="s">
        <v>147</v>
      </c>
    </row>
    <row r="371" spans="13:22" customFormat="1" x14ac:dyDescent="0.25">
      <c r="M371" t="s">
        <v>11</v>
      </c>
      <c r="N371" s="35">
        <f t="shared" si="67"/>
        <v>0.96381578947368418</v>
      </c>
      <c r="O371" s="35">
        <f t="shared" si="68"/>
        <v>0.94791666666666652</v>
      </c>
      <c r="P371" s="35">
        <f t="shared" si="66"/>
        <v>1.5899122807017663E-2</v>
      </c>
      <c r="S371" t="s">
        <v>190</v>
      </c>
      <c r="T371">
        <v>76</v>
      </c>
    </row>
    <row r="372" spans="13:22" customFormat="1" x14ac:dyDescent="0.25">
      <c r="M372" t="s">
        <v>12</v>
      </c>
      <c r="N372" s="35">
        <f t="shared" si="67"/>
        <v>0.98355263157894735</v>
      </c>
      <c r="O372" s="35">
        <f t="shared" si="68"/>
        <v>0.97569444444444431</v>
      </c>
      <c r="P372" s="35">
        <f t="shared" si="66"/>
        <v>7.8581871345030363E-3</v>
      </c>
      <c r="S372" t="s">
        <v>148</v>
      </c>
      <c r="T372">
        <v>90</v>
      </c>
    </row>
    <row r="373" spans="13:22" customFormat="1" x14ac:dyDescent="0.25">
      <c r="M373" t="s">
        <v>22</v>
      </c>
      <c r="N373" s="35">
        <f t="shared" si="67"/>
        <v>1</v>
      </c>
      <c r="O373" s="35">
        <f t="shared" si="68"/>
        <v>0.99999999999999989</v>
      </c>
      <c r="P373" s="35">
        <f t="shared" si="66"/>
        <v>1.1102230246251565E-16</v>
      </c>
    </row>
    <row r="374" spans="13:22" customFormat="1" x14ac:dyDescent="0.25">
      <c r="M374" t="s">
        <v>15</v>
      </c>
      <c r="N374" s="35"/>
      <c r="O374" s="35"/>
      <c r="P374" s="35">
        <f>MAX(P366:P373)</f>
        <v>5.8802029583763335E-2</v>
      </c>
    </row>
    <row r="375" spans="13:22" customFormat="1" x14ac:dyDescent="0.25">
      <c r="M375" t="s">
        <v>161</v>
      </c>
      <c r="N375" s="35"/>
      <c r="O375" s="35"/>
    </row>
    <row r="376" spans="13:22" customFormat="1" x14ac:dyDescent="0.25">
      <c r="M376" t="s">
        <v>93</v>
      </c>
      <c r="N376" s="35">
        <f t="shared" si="67"/>
        <v>5.5921052631578941E-2</v>
      </c>
      <c r="O376" s="35">
        <f t="shared" si="68"/>
        <v>4.5138888888888888E-2</v>
      </c>
      <c r="P376" s="35">
        <f>ABS(N376-O376)</f>
        <v>1.0782163742690053E-2</v>
      </c>
    </row>
    <row r="377" spans="13:22" customFormat="1" x14ac:dyDescent="0.25">
      <c r="M377" t="s">
        <v>16</v>
      </c>
      <c r="N377" s="35">
        <f t="shared" si="67"/>
        <v>0.10855263157894735</v>
      </c>
      <c r="O377" s="35">
        <f t="shared" si="68"/>
        <v>7.6388888888888895E-2</v>
      </c>
      <c r="P377" s="35">
        <f t="shared" ref="P377:P383" si="69">ABS(N377-O377)</f>
        <v>3.216374269005845E-2</v>
      </c>
    </row>
    <row r="378" spans="13:22" customFormat="1" x14ac:dyDescent="0.25">
      <c r="M378" t="s">
        <v>17</v>
      </c>
      <c r="N378" s="35">
        <f t="shared" si="67"/>
        <v>0.23355263157894735</v>
      </c>
      <c r="O378" s="35">
        <f t="shared" si="68"/>
        <v>0.26736111111111116</v>
      </c>
      <c r="P378" s="35">
        <f t="shared" si="69"/>
        <v>3.3808479532163815E-2</v>
      </c>
    </row>
    <row r="379" spans="13:22" customFormat="1" x14ac:dyDescent="0.25">
      <c r="M379" t="s">
        <v>18</v>
      </c>
      <c r="N379" s="35">
        <f t="shared" si="67"/>
        <v>0.45065789473684215</v>
      </c>
      <c r="O379" s="35">
        <f t="shared" si="68"/>
        <v>0.49652777777777779</v>
      </c>
      <c r="P379" s="35">
        <f t="shared" si="69"/>
        <v>4.5869883040935644E-2</v>
      </c>
    </row>
    <row r="380" spans="13:22" customFormat="1" x14ac:dyDescent="0.25">
      <c r="M380" t="s">
        <v>19</v>
      </c>
      <c r="N380" s="35">
        <f t="shared" si="67"/>
        <v>0.76973684210526327</v>
      </c>
      <c r="O380" s="35">
        <f t="shared" si="68"/>
        <v>0.81597222222222221</v>
      </c>
      <c r="P380" s="35">
        <f t="shared" si="69"/>
        <v>4.6235380116958935E-2</v>
      </c>
    </row>
    <row r="381" spans="13:22" customFormat="1" x14ac:dyDescent="0.25">
      <c r="M381" t="s">
        <v>20</v>
      </c>
      <c r="N381" s="35">
        <f t="shared" si="67"/>
        <v>0.90460526315789491</v>
      </c>
      <c r="O381" s="35">
        <f t="shared" si="68"/>
        <v>0.91666666666666663</v>
      </c>
      <c r="P381" s="35">
        <f t="shared" si="69"/>
        <v>1.2061403508771718E-2</v>
      </c>
    </row>
    <row r="382" spans="13:22" customFormat="1" x14ac:dyDescent="0.25">
      <c r="M382" t="s">
        <v>21</v>
      </c>
      <c r="N382" s="35">
        <f t="shared" si="67"/>
        <v>0.97697368421052655</v>
      </c>
      <c r="O382" s="35">
        <f t="shared" si="68"/>
        <v>0.98958333333333326</v>
      </c>
      <c r="P382" s="35">
        <f t="shared" si="69"/>
        <v>1.260964912280671E-2</v>
      </c>
    </row>
    <row r="383" spans="13:22" customFormat="1" x14ac:dyDescent="0.25">
      <c r="M383" t="s">
        <v>23</v>
      </c>
      <c r="N383" s="35">
        <f t="shared" si="67"/>
        <v>1.0000000000000002</v>
      </c>
      <c r="O383" s="35">
        <f t="shared" si="68"/>
        <v>0.99999999999999989</v>
      </c>
      <c r="P383" s="35">
        <f t="shared" si="69"/>
        <v>3.3306690738754696E-16</v>
      </c>
    </row>
    <row r="384" spans="13:22" customFormat="1" x14ac:dyDescent="0.25">
      <c r="M384" t="s">
        <v>15</v>
      </c>
      <c r="N384" s="35"/>
      <c r="O384" s="35"/>
      <c r="P384" s="35">
        <f>MAX(P376:P383)</f>
        <v>4.6235380116958935E-2</v>
      </c>
    </row>
    <row r="385" spans="13:16" customFormat="1" x14ac:dyDescent="0.25">
      <c r="M385" t="s">
        <v>162</v>
      </c>
      <c r="N385" s="35"/>
      <c r="O385" s="35"/>
    </row>
    <row r="386" spans="13:16" customFormat="1" x14ac:dyDescent="0.25">
      <c r="M386" t="s">
        <v>24</v>
      </c>
      <c r="N386" s="35">
        <f t="shared" si="67"/>
        <v>3.2894736842105261E-3</v>
      </c>
      <c r="O386" s="35">
        <f t="shared" si="68"/>
        <v>0</v>
      </c>
      <c r="P386" s="35">
        <f>ABS(N386-O386)</f>
        <v>3.2894736842105261E-3</v>
      </c>
    </row>
    <row r="387" spans="13:16" customFormat="1" x14ac:dyDescent="0.25">
      <c r="M387" t="s">
        <v>25</v>
      </c>
      <c r="N387" s="35">
        <f t="shared" si="67"/>
        <v>1.3157894736842105E-2</v>
      </c>
      <c r="O387" s="35">
        <f t="shared" si="68"/>
        <v>3.472222222222222E-3</v>
      </c>
      <c r="P387" s="35">
        <f t="shared" ref="P387:P400" si="70">ABS(N387-O387)</f>
        <v>9.6856725146198825E-3</v>
      </c>
    </row>
    <row r="388" spans="13:16" customFormat="1" x14ac:dyDescent="0.25">
      <c r="M388" t="s">
        <v>26</v>
      </c>
      <c r="N388" s="35">
        <f t="shared" si="67"/>
        <v>1.9736842105263157E-2</v>
      </c>
      <c r="O388" s="35">
        <f t="shared" si="68"/>
        <v>1.7361111111111112E-2</v>
      </c>
      <c r="P388" s="35">
        <f t="shared" si="70"/>
        <v>2.3757309941520449E-3</v>
      </c>
    </row>
    <row r="389" spans="13:16" customFormat="1" x14ac:dyDescent="0.25">
      <c r="M389" t="s">
        <v>27</v>
      </c>
      <c r="N389" s="35">
        <f t="shared" si="67"/>
        <v>5.5921052631578941E-2</v>
      </c>
      <c r="O389" s="35">
        <f t="shared" si="68"/>
        <v>3.125E-2</v>
      </c>
      <c r="P389" s="35">
        <f t="shared" si="70"/>
        <v>2.4671052631578941E-2</v>
      </c>
    </row>
    <row r="390" spans="13:16" customFormat="1" x14ac:dyDescent="0.25">
      <c r="M390" t="s">
        <v>28</v>
      </c>
      <c r="N390" s="35">
        <f t="shared" si="67"/>
        <v>9.5394736842105254E-2</v>
      </c>
      <c r="O390" s="35">
        <f t="shared" si="68"/>
        <v>7.9861111111111119E-2</v>
      </c>
      <c r="P390" s="35">
        <f t="shared" si="70"/>
        <v>1.5533625730994136E-2</v>
      </c>
    </row>
    <row r="391" spans="13:16" customFormat="1" x14ac:dyDescent="0.25">
      <c r="M391" t="s">
        <v>29</v>
      </c>
      <c r="N391" s="35">
        <f t="shared" si="67"/>
        <v>0.21710526315789469</v>
      </c>
      <c r="O391" s="35">
        <f t="shared" si="68"/>
        <v>0.18055555555555552</v>
      </c>
      <c r="P391" s="35">
        <f t="shared" si="70"/>
        <v>3.6549707602339165E-2</v>
      </c>
    </row>
    <row r="392" spans="13:16" customFormat="1" x14ac:dyDescent="0.25">
      <c r="M392" t="s">
        <v>30</v>
      </c>
      <c r="N392" s="35">
        <f t="shared" si="67"/>
        <v>0.42434210526315785</v>
      </c>
      <c r="O392" s="35">
        <f t="shared" si="68"/>
        <v>0.44791666666666663</v>
      </c>
      <c r="P392" s="35">
        <f t="shared" si="70"/>
        <v>2.3574561403508776E-2</v>
      </c>
    </row>
    <row r="393" spans="13:16" customFormat="1" x14ac:dyDescent="0.25">
      <c r="M393" t="s">
        <v>31</v>
      </c>
      <c r="N393" s="35">
        <f t="shared" si="67"/>
        <v>0.7532894736842104</v>
      </c>
      <c r="O393" s="35">
        <f t="shared" si="68"/>
        <v>0.82291666666666674</v>
      </c>
      <c r="P393" s="35">
        <f t="shared" si="70"/>
        <v>6.9627192982456343E-2</v>
      </c>
    </row>
    <row r="394" spans="13:16" customFormat="1" x14ac:dyDescent="0.25">
      <c r="M394" t="s">
        <v>32</v>
      </c>
      <c r="N394" s="35">
        <f t="shared" si="67"/>
        <v>0.90460526315789458</v>
      </c>
      <c r="O394" s="35">
        <f t="shared" si="68"/>
        <v>0.94791666666666674</v>
      </c>
      <c r="P394" s="35">
        <f t="shared" si="70"/>
        <v>4.3311403508772162E-2</v>
      </c>
    </row>
    <row r="395" spans="13:16" customFormat="1" x14ac:dyDescent="0.25">
      <c r="M395" t="s">
        <v>33</v>
      </c>
      <c r="N395" s="35">
        <f t="shared" si="67"/>
        <v>0.97039473684210509</v>
      </c>
      <c r="O395" s="35">
        <f t="shared" si="68"/>
        <v>0.97222222222222221</v>
      </c>
      <c r="P395" s="35">
        <f t="shared" si="70"/>
        <v>1.827485380117122E-3</v>
      </c>
    </row>
    <row r="396" spans="13:16" customFormat="1" x14ac:dyDescent="0.25">
      <c r="M396" t="s">
        <v>34</v>
      </c>
      <c r="N396" s="35">
        <f t="shared" si="67"/>
        <v>0.97697368421052611</v>
      </c>
      <c r="O396" s="35">
        <f t="shared" si="68"/>
        <v>0.98958333333333326</v>
      </c>
      <c r="P396" s="35">
        <f t="shared" si="70"/>
        <v>1.2609649122807154E-2</v>
      </c>
    </row>
    <row r="397" spans="13:16" customFormat="1" x14ac:dyDescent="0.25">
      <c r="M397" t="s">
        <v>35</v>
      </c>
      <c r="N397" s="35">
        <f t="shared" si="67"/>
        <v>0.98684210526315763</v>
      </c>
      <c r="O397" s="35">
        <f t="shared" si="68"/>
        <v>0.99305555555555547</v>
      </c>
      <c r="P397" s="35">
        <f t="shared" si="70"/>
        <v>6.2134502923978374E-3</v>
      </c>
    </row>
    <row r="398" spans="13:16" customFormat="1" x14ac:dyDescent="0.25">
      <c r="M398" t="s">
        <v>36</v>
      </c>
      <c r="N398" s="35">
        <f t="shared" si="67"/>
        <v>0.98684210526315763</v>
      </c>
      <c r="O398" s="35">
        <f t="shared" si="68"/>
        <v>0.99305555555555547</v>
      </c>
      <c r="P398" s="35">
        <f t="shared" si="70"/>
        <v>6.2134502923978374E-3</v>
      </c>
    </row>
    <row r="399" spans="13:16" customFormat="1" x14ac:dyDescent="0.25">
      <c r="M399" t="s">
        <v>37</v>
      </c>
      <c r="N399" s="35">
        <f t="shared" si="67"/>
        <v>0.99013157894736814</v>
      </c>
      <c r="O399" s="35">
        <f t="shared" si="68"/>
        <v>0.99652777777777768</v>
      </c>
      <c r="P399" s="35">
        <f t="shared" si="70"/>
        <v>6.3961988304095385E-3</v>
      </c>
    </row>
    <row r="400" spans="13:16" customFormat="1" x14ac:dyDescent="0.25">
      <c r="M400" t="s">
        <v>38</v>
      </c>
      <c r="N400" s="35">
        <f t="shared" si="67"/>
        <v>0.99999999999999967</v>
      </c>
      <c r="O400" s="35">
        <f t="shared" si="68"/>
        <v>0.99999999999999989</v>
      </c>
      <c r="P400" s="35">
        <f t="shared" si="70"/>
        <v>2.2204460492503131E-16</v>
      </c>
    </row>
    <row r="401" spans="13:16" customFormat="1" x14ac:dyDescent="0.25">
      <c r="M401" t="s">
        <v>15</v>
      </c>
      <c r="N401" s="35"/>
      <c r="O401" s="35"/>
      <c r="P401" s="35">
        <f>MAX(P386:P400)</f>
        <v>6.9627192982456343E-2</v>
      </c>
    </row>
    <row r="402" spans="13:16" customFormat="1" x14ac:dyDescent="0.25">
      <c r="M402" t="s">
        <v>163</v>
      </c>
      <c r="N402" s="35"/>
      <c r="O402" s="35"/>
    </row>
    <row r="403" spans="13:16" customFormat="1" x14ac:dyDescent="0.25">
      <c r="M403" t="s">
        <v>40</v>
      </c>
      <c r="N403" s="35">
        <f t="shared" si="67"/>
        <v>3.2894736842105261E-3</v>
      </c>
      <c r="O403" s="35">
        <f t="shared" si="68"/>
        <v>2.2222222222222223E-2</v>
      </c>
      <c r="P403" s="35">
        <f>ABS(N403-O403)</f>
        <v>1.8932748538011697E-2</v>
      </c>
    </row>
    <row r="404" spans="13:16" customFormat="1" x14ac:dyDescent="0.25">
      <c r="M404" t="s">
        <v>41</v>
      </c>
      <c r="N404" s="35">
        <f t="shared" si="67"/>
        <v>3.2894736842105261E-3</v>
      </c>
      <c r="O404" s="35">
        <f t="shared" si="68"/>
        <v>3.0555555555555558E-2</v>
      </c>
      <c r="P404" s="35">
        <f t="shared" ref="P404:P417" si="71">ABS(N404-O404)</f>
        <v>2.7266081871345032E-2</v>
      </c>
    </row>
    <row r="405" spans="13:16" customFormat="1" x14ac:dyDescent="0.25">
      <c r="M405" t="s">
        <v>42</v>
      </c>
      <c r="N405" s="35">
        <f t="shared" si="67"/>
        <v>2.3026315789473683E-2</v>
      </c>
      <c r="O405" s="35">
        <f t="shared" si="68"/>
        <v>4.4444444444444446E-2</v>
      </c>
      <c r="P405" s="35">
        <f t="shared" si="71"/>
        <v>2.1418128654970763E-2</v>
      </c>
    </row>
    <row r="406" spans="13:16" customFormat="1" x14ac:dyDescent="0.25">
      <c r="M406" t="s">
        <v>43</v>
      </c>
      <c r="N406" s="35">
        <f t="shared" si="67"/>
        <v>3.9473684210526314E-2</v>
      </c>
      <c r="O406" s="35">
        <f t="shared" si="68"/>
        <v>5.2777777777777778E-2</v>
      </c>
      <c r="P406" s="35">
        <f t="shared" si="71"/>
        <v>1.3304093567251464E-2</v>
      </c>
    </row>
    <row r="407" spans="13:16" customFormat="1" x14ac:dyDescent="0.25">
      <c r="M407" t="s">
        <v>44</v>
      </c>
      <c r="N407" s="35">
        <f t="shared" si="67"/>
        <v>9.2105263157894718E-2</v>
      </c>
      <c r="O407" s="35">
        <f t="shared" si="68"/>
        <v>0.11944444444444444</v>
      </c>
      <c r="P407" s="35">
        <f t="shared" si="71"/>
        <v>2.7339181286549719E-2</v>
      </c>
    </row>
    <row r="408" spans="13:16" customFormat="1" x14ac:dyDescent="0.25">
      <c r="M408" t="s">
        <v>45</v>
      </c>
      <c r="N408" s="35">
        <f t="shared" si="67"/>
        <v>0.13815789473684209</v>
      </c>
      <c r="O408" s="35">
        <f t="shared" si="68"/>
        <v>0.24444444444444444</v>
      </c>
      <c r="P408" s="35">
        <f t="shared" si="71"/>
        <v>0.10628654970760235</v>
      </c>
    </row>
    <row r="409" spans="13:16" customFormat="1" x14ac:dyDescent="0.25">
      <c r="M409" t="s">
        <v>46</v>
      </c>
      <c r="N409" s="35">
        <f t="shared" si="67"/>
        <v>0.29276315789473689</v>
      </c>
      <c r="O409" s="35">
        <f t="shared" si="68"/>
        <v>0.38055555555555559</v>
      </c>
      <c r="P409" s="35">
        <f t="shared" si="71"/>
        <v>8.77923976608187E-2</v>
      </c>
    </row>
    <row r="410" spans="13:16" customFormat="1" x14ac:dyDescent="0.25">
      <c r="M410" t="s">
        <v>47</v>
      </c>
      <c r="N410" s="35">
        <f t="shared" si="67"/>
        <v>0.50657894736842113</v>
      </c>
      <c r="O410" s="35">
        <f t="shared" si="68"/>
        <v>0.56944444444444442</v>
      </c>
      <c r="P410" s="35">
        <f t="shared" si="71"/>
        <v>6.2865497076023291E-2</v>
      </c>
    </row>
    <row r="411" spans="13:16" customFormat="1" x14ac:dyDescent="0.25">
      <c r="M411" t="s">
        <v>48</v>
      </c>
      <c r="N411" s="35">
        <f t="shared" si="67"/>
        <v>0.73355263157894746</v>
      </c>
      <c r="O411" s="35">
        <f t="shared" si="68"/>
        <v>0.76111111111111107</v>
      </c>
      <c r="P411" s="35">
        <f t="shared" si="71"/>
        <v>2.7558479532163616E-2</v>
      </c>
    </row>
    <row r="412" spans="13:16" customFormat="1" x14ac:dyDescent="0.25">
      <c r="M412" t="s">
        <v>49</v>
      </c>
      <c r="N412" s="35">
        <f t="shared" si="67"/>
        <v>0.83223684210526316</v>
      </c>
      <c r="O412" s="35">
        <f t="shared" si="68"/>
        <v>0.85</v>
      </c>
      <c r="P412" s="35">
        <f t="shared" si="71"/>
        <v>1.7763157894736814E-2</v>
      </c>
    </row>
    <row r="413" spans="13:16" customFormat="1" x14ac:dyDescent="0.25">
      <c r="M413" t="s">
        <v>50</v>
      </c>
      <c r="N413" s="35">
        <f t="shared" si="67"/>
        <v>0.94407894736842102</v>
      </c>
      <c r="O413" s="35">
        <f t="shared" si="68"/>
        <v>0.93055555555555547</v>
      </c>
      <c r="P413" s="35">
        <f t="shared" si="71"/>
        <v>1.3523391812865548E-2</v>
      </c>
    </row>
    <row r="414" spans="13:16" customFormat="1" x14ac:dyDescent="0.25">
      <c r="M414" t="s">
        <v>51</v>
      </c>
      <c r="N414" s="35">
        <f t="shared" si="67"/>
        <v>0.99342105263157898</v>
      </c>
      <c r="O414" s="35">
        <f t="shared" si="68"/>
        <v>0.95833333333333326</v>
      </c>
      <c r="P414" s="35">
        <f t="shared" si="71"/>
        <v>3.5087719298245723E-2</v>
      </c>
    </row>
    <row r="415" spans="13:16" customFormat="1" x14ac:dyDescent="0.25">
      <c r="M415" t="s">
        <v>52</v>
      </c>
      <c r="N415" s="35">
        <f t="shared" si="67"/>
        <v>1</v>
      </c>
      <c r="O415" s="35">
        <f t="shared" si="68"/>
        <v>0.99166666666666659</v>
      </c>
      <c r="P415" s="35">
        <f t="shared" si="71"/>
        <v>8.3333333333334147E-3</v>
      </c>
    </row>
    <row r="416" spans="13:16" customFormat="1" x14ac:dyDescent="0.25">
      <c r="M416" t="s">
        <v>53</v>
      </c>
      <c r="N416" s="35">
        <f t="shared" si="67"/>
        <v>1</v>
      </c>
      <c r="O416" s="35">
        <f t="shared" si="68"/>
        <v>0.99722222222222212</v>
      </c>
      <c r="P416" s="35">
        <f t="shared" si="71"/>
        <v>2.7777777777778789E-3</v>
      </c>
    </row>
    <row r="417" spans="13:23" customFormat="1" x14ac:dyDescent="0.25">
      <c r="M417" t="s">
        <v>54</v>
      </c>
      <c r="N417" s="35">
        <f t="shared" si="67"/>
        <v>1</v>
      </c>
      <c r="O417" s="35">
        <f t="shared" si="68"/>
        <v>0.99999999999999989</v>
      </c>
      <c r="P417" s="35">
        <f t="shared" si="71"/>
        <v>1.1102230246251565E-16</v>
      </c>
    </row>
    <row r="418" spans="13:23" customFormat="1" x14ac:dyDescent="0.25">
      <c r="M418" t="s">
        <v>15</v>
      </c>
      <c r="P418" s="35">
        <f>MAX(P403:P417)</f>
        <v>0.10628654970760235</v>
      </c>
    </row>
    <row r="420" spans="13:23" customFormat="1" x14ac:dyDescent="0.25">
      <c r="M420" s="37" t="s">
        <v>194</v>
      </c>
      <c r="T420" t="s">
        <v>153</v>
      </c>
    </row>
    <row r="421" spans="13:23" customFormat="1" x14ac:dyDescent="0.25">
      <c r="M421" t="s">
        <v>160</v>
      </c>
      <c r="N421" t="s">
        <v>195</v>
      </c>
      <c r="O421" t="s">
        <v>13</v>
      </c>
      <c r="P421" t="s">
        <v>39</v>
      </c>
      <c r="T421" t="s">
        <v>145</v>
      </c>
      <c r="U421" t="s">
        <v>146</v>
      </c>
      <c r="V421" t="s">
        <v>150</v>
      </c>
    </row>
    <row r="422" spans="13:23" customFormat="1" x14ac:dyDescent="0.25">
      <c r="M422" t="s">
        <v>6</v>
      </c>
      <c r="N422" s="35">
        <f>N30</f>
        <v>2.3972602739726026E-2</v>
      </c>
      <c r="O422" s="35">
        <f>N86</f>
        <v>0</v>
      </c>
      <c r="P422" s="35">
        <f t="shared" ref="P422:P429" si="72">ABS(N422-O422)</f>
        <v>2.3972602739726026E-2</v>
      </c>
      <c r="T422">
        <v>0.1</v>
      </c>
      <c r="U422">
        <v>1.22</v>
      </c>
      <c r="V422">
        <f>SQRT((T427+T428)/(T427*T428))</f>
        <v>0.15365907428821479</v>
      </c>
      <c r="W422">
        <f>PRODUCT(V422, U422)</f>
        <v>0.18746407063162204</v>
      </c>
    </row>
    <row r="423" spans="13:23" customFormat="1" x14ac:dyDescent="0.25">
      <c r="M423" t="s">
        <v>7</v>
      </c>
      <c r="N423" s="35">
        <f t="shared" ref="N423:N473" si="73">N31</f>
        <v>8.5616438356164379E-2</v>
      </c>
      <c r="O423" s="35">
        <f t="shared" ref="O423:O473" si="74">N87</f>
        <v>6.9444444444444448E-2</v>
      </c>
      <c r="P423" s="35">
        <f t="shared" si="72"/>
        <v>1.6171993911719931E-2</v>
      </c>
      <c r="T423">
        <v>0.05</v>
      </c>
      <c r="U423">
        <v>1.36</v>
      </c>
      <c r="W423">
        <f>V422*U423</f>
        <v>0.20897634103197213</v>
      </c>
    </row>
    <row r="424" spans="13:23" customFormat="1" x14ac:dyDescent="0.25">
      <c r="M424" t="s">
        <v>8</v>
      </c>
      <c r="N424" s="35">
        <f t="shared" si="73"/>
        <v>0.32191780821917809</v>
      </c>
      <c r="O424" s="35">
        <f t="shared" si="74"/>
        <v>0.28472222222222221</v>
      </c>
      <c r="P424" s="35">
        <f t="shared" si="72"/>
        <v>3.7195585996955882E-2</v>
      </c>
      <c r="T424">
        <v>0.01</v>
      </c>
      <c r="U424">
        <v>1.63</v>
      </c>
      <c r="W424">
        <f>V422*U424</f>
        <v>0.25046429108979007</v>
      </c>
    </row>
    <row r="425" spans="13:23" customFormat="1" x14ac:dyDescent="0.25">
      <c r="M425" t="s">
        <v>9</v>
      </c>
      <c r="N425" s="35">
        <f t="shared" si="73"/>
        <v>0.73630136986301364</v>
      </c>
      <c r="O425" s="35">
        <f t="shared" si="74"/>
        <v>0.71527777777777768</v>
      </c>
      <c r="P425" s="35">
        <f t="shared" si="72"/>
        <v>2.1023592085235965E-2</v>
      </c>
      <c r="R425" t="s">
        <v>216</v>
      </c>
      <c r="V425" s="35">
        <f>MAX(P430, P440, P457, P474)</f>
        <v>0.10711567732115684</v>
      </c>
    </row>
    <row r="426" spans="13:23" customFormat="1" x14ac:dyDescent="0.25">
      <c r="M426" t="s">
        <v>10</v>
      </c>
      <c r="N426" s="35">
        <f t="shared" si="73"/>
        <v>0.88356164383561642</v>
      </c>
      <c r="O426" s="35">
        <f t="shared" si="74"/>
        <v>0.87499999999999989</v>
      </c>
      <c r="P426" s="35">
        <f t="shared" si="72"/>
        <v>8.5616438356165281E-3</v>
      </c>
      <c r="T426" t="s">
        <v>147</v>
      </c>
    </row>
    <row r="427" spans="13:23" customFormat="1" x14ac:dyDescent="0.25">
      <c r="M427" t="s">
        <v>11</v>
      </c>
      <c r="N427" s="35">
        <f t="shared" si="73"/>
        <v>0.94178082191780821</v>
      </c>
      <c r="O427" s="35">
        <f t="shared" si="74"/>
        <v>0.94791666666666652</v>
      </c>
      <c r="P427" s="35">
        <f t="shared" si="72"/>
        <v>6.1358447488583101E-3</v>
      </c>
      <c r="S427" t="s">
        <v>183</v>
      </c>
      <c r="T427">
        <v>80</v>
      </c>
    </row>
    <row r="428" spans="13:23" customFormat="1" x14ac:dyDescent="0.25">
      <c r="M428" t="s">
        <v>12</v>
      </c>
      <c r="N428" s="35">
        <f t="shared" si="73"/>
        <v>0.97602739726027399</v>
      </c>
      <c r="O428" s="35">
        <f t="shared" si="74"/>
        <v>0.97569444444444431</v>
      </c>
      <c r="P428" s="35">
        <f t="shared" si="72"/>
        <v>3.3295281582967906E-4</v>
      </c>
      <c r="S428" t="s">
        <v>148</v>
      </c>
      <c r="T428">
        <v>90</v>
      </c>
    </row>
    <row r="429" spans="13:23" customFormat="1" x14ac:dyDescent="0.25">
      <c r="M429" t="s">
        <v>22</v>
      </c>
      <c r="N429" s="35">
        <f t="shared" si="73"/>
        <v>1</v>
      </c>
      <c r="O429" s="35">
        <f t="shared" si="74"/>
        <v>0.99999999999999989</v>
      </c>
      <c r="P429" s="35">
        <f t="shared" si="72"/>
        <v>1.1102230246251565E-16</v>
      </c>
    </row>
    <row r="430" spans="13:23" customFormat="1" x14ac:dyDescent="0.25">
      <c r="M430" t="s">
        <v>15</v>
      </c>
      <c r="N430" s="35"/>
      <c r="O430" s="35"/>
      <c r="P430" s="35">
        <f>MAX(P422:P429)</f>
        <v>3.7195585996955882E-2</v>
      </c>
    </row>
    <row r="431" spans="13:23" customFormat="1" x14ac:dyDescent="0.25">
      <c r="M431" t="s">
        <v>161</v>
      </c>
      <c r="N431" s="35"/>
      <c r="O431" s="35"/>
    </row>
    <row r="432" spans="13:23" customFormat="1" x14ac:dyDescent="0.25">
      <c r="M432" t="s">
        <v>93</v>
      </c>
      <c r="N432" s="35">
        <f t="shared" si="73"/>
        <v>8.9041095890410954E-2</v>
      </c>
      <c r="O432" s="35">
        <f t="shared" si="74"/>
        <v>4.5138888888888888E-2</v>
      </c>
      <c r="P432" s="35">
        <f>ABS(N432-O432)</f>
        <v>4.3902207001522066E-2</v>
      </c>
    </row>
    <row r="433" spans="13:16" customFormat="1" x14ac:dyDescent="0.25">
      <c r="M433" t="s">
        <v>16</v>
      </c>
      <c r="N433" s="35">
        <f t="shared" si="73"/>
        <v>0.1678082191780822</v>
      </c>
      <c r="O433" s="35">
        <f t="shared" si="74"/>
        <v>7.6388888888888895E-2</v>
      </c>
      <c r="P433" s="35">
        <f t="shared" ref="P433:P439" si="75">ABS(N433-O433)</f>
        <v>9.1419330289193301E-2</v>
      </c>
    </row>
    <row r="434" spans="13:16" customFormat="1" x14ac:dyDescent="0.25">
      <c r="M434" t="s">
        <v>17</v>
      </c>
      <c r="N434" s="35">
        <f t="shared" si="73"/>
        <v>0.29794520547945202</v>
      </c>
      <c r="O434" s="35">
        <f t="shared" si="74"/>
        <v>0.26736111111111116</v>
      </c>
      <c r="P434" s="35">
        <f t="shared" si="75"/>
        <v>3.0584094368340864E-2</v>
      </c>
    </row>
    <row r="435" spans="13:16" customFormat="1" x14ac:dyDescent="0.25">
      <c r="M435" t="s">
        <v>18</v>
      </c>
      <c r="N435" s="35">
        <f t="shared" si="73"/>
        <v>0.47945205479452047</v>
      </c>
      <c r="O435" s="35">
        <f t="shared" si="74"/>
        <v>0.49652777777777779</v>
      </c>
      <c r="P435" s="35">
        <f t="shared" si="75"/>
        <v>1.7075722983257324E-2</v>
      </c>
    </row>
    <row r="436" spans="13:16" customFormat="1" x14ac:dyDescent="0.25">
      <c r="M436" t="s">
        <v>19</v>
      </c>
      <c r="N436" s="35">
        <f t="shared" si="73"/>
        <v>0.78082191780821919</v>
      </c>
      <c r="O436" s="35">
        <f t="shared" si="74"/>
        <v>0.81597222222222221</v>
      </c>
      <c r="P436" s="35">
        <f t="shared" si="75"/>
        <v>3.515030441400302E-2</v>
      </c>
    </row>
    <row r="437" spans="13:16" customFormat="1" x14ac:dyDescent="0.25">
      <c r="M437" t="s">
        <v>20</v>
      </c>
      <c r="N437" s="35">
        <f t="shared" si="73"/>
        <v>0.9178082191780822</v>
      </c>
      <c r="O437" s="35">
        <f t="shared" si="74"/>
        <v>0.91666666666666663</v>
      </c>
      <c r="P437" s="35">
        <f t="shared" si="75"/>
        <v>1.1415525114155667E-3</v>
      </c>
    </row>
    <row r="438" spans="13:16" customFormat="1" x14ac:dyDescent="0.25">
      <c r="M438" t="s">
        <v>21</v>
      </c>
      <c r="N438" s="35">
        <f t="shared" si="73"/>
        <v>0.97602739726027399</v>
      </c>
      <c r="O438" s="35">
        <f t="shared" si="74"/>
        <v>0.98958333333333326</v>
      </c>
      <c r="P438" s="35">
        <f t="shared" si="75"/>
        <v>1.3555936073059272E-2</v>
      </c>
    </row>
    <row r="439" spans="13:16" customFormat="1" x14ac:dyDescent="0.25">
      <c r="M439" t="s">
        <v>23</v>
      </c>
      <c r="N439" s="35">
        <f t="shared" si="73"/>
        <v>1</v>
      </c>
      <c r="O439" s="35">
        <f t="shared" si="74"/>
        <v>0.99999999999999989</v>
      </c>
      <c r="P439" s="35">
        <f t="shared" si="75"/>
        <v>1.1102230246251565E-16</v>
      </c>
    </row>
    <row r="440" spans="13:16" customFormat="1" x14ac:dyDescent="0.25">
      <c r="M440" t="s">
        <v>15</v>
      </c>
      <c r="N440" s="35"/>
      <c r="O440" s="35"/>
      <c r="P440" s="35">
        <f>MAX(P432:P439)</f>
        <v>9.1419330289193301E-2</v>
      </c>
    </row>
    <row r="441" spans="13:16" customFormat="1" x14ac:dyDescent="0.25">
      <c r="M441" t="s">
        <v>162</v>
      </c>
      <c r="N441" s="35"/>
      <c r="O441" s="35"/>
    </row>
    <row r="442" spans="13:16" customFormat="1" x14ac:dyDescent="0.25">
      <c r="M442" t="s">
        <v>24</v>
      </c>
      <c r="N442" s="35">
        <f t="shared" si="73"/>
        <v>3.4246575342465752E-3</v>
      </c>
      <c r="O442" s="35">
        <f t="shared" si="74"/>
        <v>0</v>
      </c>
      <c r="P442" s="35">
        <f>ABS(N442-O442)</f>
        <v>3.4246575342465752E-3</v>
      </c>
    </row>
    <row r="443" spans="13:16" customFormat="1" x14ac:dyDescent="0.25">
      <c r="M443" t="s">
        <v>25</v>
      </c>
      <c r="N443" s="35">
        <f t="shared" si="73"/>
        <v>1.3698630136986301E-2</v>
      </c>
      <c r="O443" s="35">
        <f t="shared" si="74"/>
        <v>3.472222222222222E-3</v>
      </c>
      <c r="P443" s="35">
        <f t="shared" ref="P443:P456" si="76">ABS(N443-O443)</f>
        <v>1.0226407914764079E-2</v>
      </c>
    </row>
    <row r="444" spans="13:16" customFormat="1" x14ac:dyDescent="0.25">
      <c r="M444" t="s">
        <v>26</v>
      </c>
      <c r="N444" s="35">
        <f t="shared" si="73"/>
        <v>2.7397260273972601E-2</v>
      </c>
      <c r="O444" s="35">
        <f t="shared" si="74"/>
        <v>1.7361111111111112E-2</v>
      </c>
      <c r="P444" s="35">
        <f t="shared" si="76"/>
        <v>1.0036149162861489E-2</v>
      </c>
    </row>
    <row r="445" spans="13:16" customFormat="1" x14ac:dyDescent="0.25">
      <c r="M445" t="s">
        <v>27</v>
      </c>
      <c r="N445" s="35">
        <f t="shared" si="73"/>
        <v>6.8493150684931503E-2</v>
      </c>
      <c r="O445" s="35">
        <f t="shared" si="74"/>
        <v>3.125E-2</v>
      </c>
      <c r="P445" s="35">
        <f t="shared" si="76"/>
        <v>3.7243150684931503E-2</v>
      </c>
    </row>
    <row r="446" spans="13:16" customFormat="1" x14ac:dyDescent="0.25">
      <c r="M446" t="s">
        <v>28</v>
      </c>
      <c r="N446" s="35">
        <f t="shared" si="73"/>
        <v>0.1678082191780822</v>
      </c>
      <c r="O446" s="35">
        <f t="shared" si="74"/>
        <v>7.9861111111111119E-2</v>
      </c>
      <c r="P446" s="35">
        <f t="shared" si="76"/>
        <v>8.7947108066971078E-2</v>
      </c>
    </row>
    <row r="447" spans="13:16" customFormat="1" x14ac:dyDescent="0.25">
      <c r="M447" t="s">
        <v>29</v>
      </c>
      <c r="N447" s="35">
        <f t="shared" si="73"/>
        <v>0.28767123287671237</v>
      </c>
      <c r="O447" s="35">
        <f t="shared" si="74"/>
        <v>0.18055555555555552</v>
      </c>
      <c r="P447" s="35">
        <f t="shared" si="76"/>
        <v>0.10711567732115684</v>
      </c>
    </row>
    <row r="448" spans="13:16" customFormat="1" x14ac:dyDescent="0.25">
      <c r="M448" t="s">
        <v>30</v>
      </c>
      <c r="N448" s="35">
        <f t="shared" si="73"/>
        <v>0.42465753424657549</v>
      </c>
      <c r="O448" s="35">
        <f t="shared" si="74"/>
        <v>0.44791666666666663</v>
      </c>
      <c r="P448" s="35">
        <f t="shared" si="76"/>
        <v>2.3259132420091144E-2</v>
      </c>
    </row>
    <row r="449" spans="13:16" customFormat="1" x14ac:dyDescent="0.25">
      <c r="M449" t="s">
        <v>31</v>
      </c>
      <c r="N449" s="35">
        <f t="shared" si="73"/>
        <v>0.79452054794520577</v>
      </c>
      <c r="O449" s="35">
        <f t="shared" si="74"/>
        <v>0.82291666666666674</v>
      </c>
      <c r="P449" s="35">
        <f t="shared" si="76"/>
        <v>2.8396118721460972E-2</v>
      </c>
    </row>
    <row r="450" spans="13:16" customFormat="1" x14ac:dyDescent="0.25">
      <c r="M450" t="s">
        <v>32</v>
      </c>
      <c r="N450" s="35">
        <f t="shared" si="73"/>
        <v>0.91780821917808253</v>
      </c>
      <c r="O450" s="35">
        <f t="shared" si="74"/>
        <v>0.94791666666666674</v>
      </c>
      <c r="P450" s="35">
        <f t="shared" si="76"/>
        <v>3.0108447488584211E-2</v>
      </c>
    </row>
    <row r="451" spans="13:16" customFormat="1" x14ac:dyDescent="0.25">
      <c r="M451" t="s">
        <v>33</v>
      </c>
      <c r="N451" s="35">
        <f t="shared" si="73"/>
        <v>0.97945205479452113</v>
      </c>
      <c r="O451" s="35">
        <f t="shared" si="74"/>
        <v>0.97222222222222221</v>
      </c>
      <c r="P451" s="35">
        <f t="shared" si="76"/>
        <v>7.2298325722989221E-3</v>
      </c>
    </row>
    <row r="452" spans="13:16" customFormat="1" x14ac:dyDescent="0.25">
      <c r="M452" t="s">
        <v>34</v>
      </c>
      <c r="N452" s="35">
        <f t="shared" si="73"/>
        <v>0.99315068493150749</v>
      </c>
      <c r="O452" s="35">
        <f t="shared" si="74"/>
        <v>0.98958333333333326</v>
      </c>
      <c r="P452" s="35">
        <f t="shared" si="76"/>
        <v>3.5673515981742288E-3</v>
      </c>
    </row>
    <row r="453" spans="13:16" customFormat="1" x14ac:dyDescent="0.25">
      <c r="M453" t="s">
        <v>35</v>
      </c>
      <c r="N453" s="35">
        <f t="shared" si="73"/>
        <v>1.0000000000000007</v>
      </c>
      <c r="O453" s="35">
        <f t="shared" si="74"/>
        <v>0.99305555555555547</v>
      </c>
      <c r="P453" s="35">
        <f t="shared" si="76"/>
        <v>6.9444444444451969E-3</v>
      </c>
    </row>
    <row r="454" spans="13:16" customFormat="1" x14ac:dyDescent="0.25">
      <c r="M454" t="s">
        <v>36</v>
      </c>
      <c r="N454" s="35">
        <f t="shared" si="73"/>
        <v>1.0000000000000007</v>
      </c>
      <c r="O454" s="35">
        <f t="shared" si="74"/>
        <v>0.99305555555555547</v>
      </c>
      <c r="P454" s="35">
        <f t="shared" si="76"/>
        <v>6.9444444444451969E-3</v>
      </c>
    </row>
    <row r="455" spans="13:16" customFormat="1" x14ac:dyDescent="0.25">
      <c r="M455" t="s">
        <v>37</v>
      </c>
      <c r="N455" s="35">
        <f t="shared" si="73"/>
        <v>1.0000000000000007</v>
      </c>
      <c r="O455" s="35">
        <f t="shared" si="74"/>
        <v>0.99652777777777768</v>
      </c>
      <c r="P455" s="35">
        <f t="shared" si="76"/>
        <v>3.472222222222987E-3</v>
      </c>
    </row>
    <row r="456" spans="13:16" customFormat="1" x14ac:dyDescent="0.25">
      <c r="M456" t="s">
        <v>38</v>
      </c>
      <c r="N456" s="35">
        <f t="shared" si="73"/>
        <v>1.0000000000000007</v>
      </c>
      <c r="O456" s="35">
        <f t="shared" si="74"/>
        <v>0.99999999999999989</v>
      </c>
      <c r="P456" s="35">
        <f t="shared" si="76"/>
        <v>7.7715611723760958E-16</v>
      </c>
    </row>
    <row r="457" spans="13:16" customFormat="1" x14ac:dyDescent="0.25">
      <c r="M457" t="s">
        <v>15</v>
      </c>
      <c r="N457" s="35"/>
      <c r="O457" s="35"/>
      <c r="P457" s="35">
        <f>MAX(P442:P456)</f>
        <v>0.10711567732115684</v>
      </c>
    </row>
    <row r="458" spans="13:16" customFormat="1" x14ac:dyDescent="0.25">
      <c r="M458" t="s">
        <v>163</v>
      </c>
      <c r="N458" s="35"/>
      <c r="O458" s="35"/>
    </row>
    <row r="459" spans="13:16" customFormat="1" x14ac:dyDescent="0.25">
      <c r="M459" t="s">
        <v>40</v>
      </c>
      <c r="N459" s="35">
        <f t="shared" si="73"/>
        <v>1.0273972602739725E-2</v>
      </c>
      <c r="O459" s="35">
        <f t="shared" si="74"/>
        <v>2.2222222222222223E-2</v>
      </c>
      <c r="P459" s="35">
        <f>ABS(N459-O459)</f>
        <v>1.1948249619482498E-2</v>
      </c>
    </row>
    <row r="460" spans="13:16" customFormat="1" x14ac:dyDescent="0.25">
      <c r="M460" t="s">
        <v>41</v>
      </c>
      <c r="N460" s="35">
        <f t="shared" si="73"/>
        <v>2.0547945205479451E-2</v>
      </c>
      <c r="O460" s="35">
        <f t="shared" si="74"/>
        <v>3.0555555555555558E-2</v>
      </c>
      <c r="P460" s="35">
        <f t="shared" ref="P460:P473" si="77">ABS(N460-O460)</f>
        <v>1.0007610350076107E-2</v>
      </c>
    </row>
    <row r="461" spans="13:16" customFormat="1" x14ac:dyDescent="0.25">
      <c r="M461" t="s">
        <v>42</v>
      </c>
      <c r="N461" s="35">
        <f t="shared" si="73"/>
        <v>3.7671232876712327E-2</v>
      </c>
      <c r="O461" s="35">
        <f t="shared" si="74"/>
        <v>4.4444444444444446E-2</v>
      </c>
      <c r="P461" s="35">
        <f t="shared" si="77"/>
        <v>6.7732115677321195E-3</v>
      </c>
    </row>
    <row r="462" spans="13:16" customFormat="1" x14ac:dyDescent="0.25">
      <c r="M462" t="s">
        <v>43</v>
      </c>
      <c r="N462" s="35">
        <f t="shared" si="73"/>
        <v>7.1917808219178078E-2</v>
      </c>
      <c r="O462" s="35">
        <f t="shared" si="74"/>
        <v>5.2777777777777778E-2</v>
      </c>
      <c r="P462" s="35">
        <f t="shared" si="77"/>
        <v>1.9140030441400301E-2</v>
      </c>
    </row>
    <row r="463" spans="13:16" customFormat="1" x14ac:dyDescent="0.25">
      <c r="M463" t="s">
        <v>44</v>
      </c>
      <c r="N463" s="35">
        <f t="shared" si="73"/>
        <v>0.13698630136986301</v>
      </c>
      <c r="O463" s="35">
        <f t="shared" si="74"/>
        <v>0.11944444444444444</v>
      </c>
      <c r="P463" s="35">
        <f t="shared" si="77"/>
        <v>1.754185692541857E-2</v>
      </c>
    </row>
    <row r="464" spans="13:16" customFormat="1" x14ac:dyDescent="0.25">
      <c r="M464" t="s">
        <v>45</v>
      </c>
      <c r="N464" s="35">
        <f t="shared" si="73"/>
        <v>0.19863013698630139</v>
      </c>
      <c r="O464" s="35">
        <f t="shared" si="74"/>
        <v>0.24444444444444444</v>
      </c>
      <c r="P464" s="35">
        <f t="shared" si="77"/>
        <v>4.581430745814305E-2</v>
      </c>
    </row>
    <row r="465" spans="13:23" customFormat="1" x14ac:dyDescent="0.25">
      <c r="M465" t="s">
        <v>46</v>
      </c>
      <c r="N465" s="35">
        <f t="shared" si="73"/>
        <v>0.35958904109589046</v>
      </c>
      <c r="O465" s="35">
        <f t="shared" si="74"/>
        <v>0.38055555555555559</v>
      </c>
      <c r="P465" s="35">
        <f t="shared" si="77"/>
        <v>2.0966514459665131E-2</v>
      </c>
    </row>
    <row r="466" spans="13:23" customFormat="1" x14ac:dyDescent="0.25">
      <c r="M466" t="s">
        <v>47</v>
      </c>
      <c r="N466" s="35">
        <f t="shared" si="73"/>
        <v>0.48630136986301375</v>
      </c>
      <c r="O466" s="35">
        <f t="shared" si="74"/>
        <v>0.56944444444444442</v>
      </c>
      <c r="P466" s="35">
        <f t="shared" si="77"/>
        <v>8.3143074581430665E-2</v>
      </c>
    </row>
    <row r="467" spans="13:23" customFormat="1" x14ac:dyDescent="0.25">
      <c r="M467" t="s">
        <v>48</v>
      </c>
      <c r="N467" s="35">
        <f t="shared" si="73"/>
        <v>0.72260273972602751</v>
      </c>
      <c r="O467" s="35">
        <f t="shared" si="74"/>
        <v>0.76111111111111107</v>
      </c>
      <c r="P467" s="35">
        <f t="shared" si="77"/>
        <v>3.8508371385083562E-2</v>
      </c>
    </row>
    <row r="468" spans="13:23" customFormat="1" x14ac:dyDescent="0.25">
      <c r="M468" t="s">
        <v>49</v>
      </c>
      <c r="N468" s="35">
        <f t="shared" si="73"/>
        <v>0.84589041095890427</v>
      </c>
      <c r="O468" s="35">
        <f t="shared" si="74"/>
        <v>0.85</v>
      </c>
      <c r="P468" s="35">
        <f t="shared" si="77"/>
        <v>4.109589041095707E-3</v>
      </c>
    </row>
    <row r="469" spans="13:23" customFormat="1" x14ac:dyDescent="0.25">
      <c r="M469" t="s">
        <v>50</v>
      </c>
      <c r="N469" s="35">
        <f t="shared" si="73"/>
        <v>0.92465753424657549</v>
      </c>
      <c r="O469" s="35">
        <f t="shared" si="74"/>
        <v>0.93055555555555547</v>
      </c>
      <c r="P469" s="35">
        <f t="shared" si="77"/>
        <v>5.8980213089799838E-3</v>
      </c>
    </row>
    <row r="470" spans="13:23" customFormat="1" x14ac:dyDescent="0.25">
      <c r="M470" t="s">
        <v>51</v>
      </c>
      <c r="N470" s="35">
        <f t="shared" si="73"/>
        <v>0.95547945205479468</v>
      </c>
      <c r="O470" s="35">
        <f t="shared" si="74"/>
        <v>0.95833333333333326</v>
      </c>
      <c r="P470" s="35">
        <f t="shared" si="77"/>
        <v>2.8538812785385836E-3</v>
      </c>
    </row>
    <row r="471" spans="13:23" customFormat="1" x14ac:dyDescent="0.25">
      <c r="M471" t="s">
        <v>52</v>
      </c>
      <c r="N471" s="35">
        <f t="shared" si="73"/>
        <v>0.98287671232876728</v>
      </c>
      <c r="O471" s="35">
        <f t="shared" si="74"/>
        <v>0.99166666666666659</v>
      </c>
      <c r="P471" s="35">
        <f t="shared" si="77"/>
        <v>8.7899543378993084E-3</v>
      </c>
    </row>
    <row r="472" spans="13:23" customFormat="1" x14ac:dyDescent="0.25">
      <c r="M472" t="s">
        <v>53</v>
      </c>
      <c r="N472" s="35">
        <f t="shared" si="73"/>
        <v>0.98630136986301387</v>
      </c>
      <c r="O472" s="35">
        <f t="shared" si="74"/>
        <v>0.99722222222222212</v>
      </c>
      <c r="P472" s="35">
        <f t="shared" si="77"/>
        <v>1.0920852359208255E-2</v>
      </c>
    </row>
    <row r="473" spans="13:23" customFormat="1" x14ac:dyDescent="0.25">
      <c r="M473" t="s">
        <v>54</v>
      </c>
      <c r="N473" s="35">
        <f t="shared" si="73"/>
        <v>1.0000000000000002</v>
      </c>
      <c r="O473" s="35">
        <f t="shared" si="74"/>
        <v>0.99999999999999989</v>
      </c>
      <c r="P473" s="35">
        <f t="shared" si="77"/>
        <v>3.3306690738754696E-16</v>
      </c>
    </row>
    <row r="474" spans="13:23" customFormat="1" x14ac:dyDescent="0.25">
      <c r="M474" t="s">
        <v>15</v>
      </c>
      <c r="P474" s="35">
        <f>MAX(P459:P473)</f>
        <v>8.3143074581430665E-2</v>
      </c>
    </row>
    <row r="476" spans="13:23" customFormat="1" x14ac:dyDescent="0.25">
      <c r="M476" s="37" t="s">
        <v>220</v>
      </c>
      <c r="T476" t="s">
        <v>153</v>
      </c>
    </row>
    <row r="477" spans="13:23" customFormat="1" x14ac:dyDescent="0.25">
      <c r="M477" t="s">
        <v>160</v>
      </c>
      <c r="N477" t="s">
        <v>221</v>
      </c>
      <c r="O477" t="s">
        <v>178</v>
      </c>
      <c r="P477" t="s">
        <v>39</v>
      </c>
      <c r="T477" t="s">
        <v>145</v>
      </c>
      <c r="U477" t="s">
        <v>146</v>
      </c>
      <c r="V477" t="s">
        <v>150</v>
      </c>
    </row>
    <row r="478" spans="13:23" customFormat="1" x14ac:dyDescent="0.25">
      <c r="M478" t="s">
        <v>6</v>
      </c>
      <c r="N478" s="35">
        <f>(N30+N198)/2</f>
        <v>1.3631038211968276E-2</v>
      </c>
      <c r="O478" s="35">
        <f>O142</f>
        <v>1.984126984126984E-2</v>
      </c>
      <c r="P478" s="35">
        <f t="shared" ref="P478:P485" si="78">ABS(N478-O478)</f>
        <v>6.2102316293015641E-3</v>
      </c>
      <c r="T478">
        <v>0.1</v>
      </c>
      <c r="U478">
        <v>1.22</v>
      </c>
      <c r="V478">
        <f>SQRT((T483+T484)/(T483*T484))</f>
        <v>0.13695231076035955</v>
      </c>
      <c r="W478">
        <f>PRODUCT(V478, U478)</f>
        <v>0.16708181912763864</v>
      </c>
    </row>
    <row r="479" spans="13:23" customFormat="1" x14ac:dyDescent="0.25">
      <c r="M479" t="s">
        <v>7</v>
      </c>
      <c r="N479" s="35">
        <f t="shared" ref="N479:N529" si="79">(N31+N199)/2</f>
        <v>4.8129426608422746E-2</v>
      </c>
      <c r="O479" s="35">
        <f t="shared" ref="O479:O529" si="80">O143</f>
        <v>7.1428571428571425E-2</v>
      </c>
      <c r="P479" s="35">
        <f t="shared" si="78"/>
        <v>2.3299144820148679E-2</v>
      </c>
      <c r="T479">
        <v>0.05</v>
      </c>
      <c r="U479">
        <v>1.36</v>
      </c>
      <c r="W479">
        <f>V478*U479</f>
        <v>0.18625514263408899</v>
      </c>
    </row>
    <row r="480" spans="13:23" customFormat="1" x14ac:dyDescent="0.25">
      <c r="M480" t="s">
        <v>8</v>
      </c>
      <c r="N480" s="35">
        <f t="shared" si="79"/>
        <v>0.31556416726748382</v>
      </c>
      <c r="O480" s="35">
        <f t="shared" si="80"/>
        <v>0.26190476190476186</v>
      </c>
      <c r="P480" s="35">
        <f t="shared" si="78"/>
        <v>5.3659405362721957E-2</v>
      </c>
      <c r="T480">
        <v>0.01</v>
      </c>
      <c r="U480">
        <v>1.63</v>
      </c>
      <c r="W480">
        <f>V478*U480</f>
        <v>0.22323226653938605</v>
      </c>
    </row>
    <row r="481" spans="13:22" customFormat="1" x14ac:dyDescent="0.25">
      <c r="M481" t="s">
        <v>9</v>
      </c>
      <c r="N481" s="35">
        <f t="shared" si="79"/>
        <v>0.71519015861571733</v>
      </c>
      <c r="O481" s="35">
        <f t="shared" si="80"/>
        <v>0.67857142857142849</v>
      </c>
      <c r="P481" s="35">
        <f t="shared" si="78"/>
        <v>3.6618730044288839E-2</v>
      </c>
      <c r="R481" t="s">
        <v>216</v>
      </c>
      <c r="V481" s="35">
        <f>MAX(P486, P496, P513, P530)</f>
        <v>9.8797936622377791E-2</v>
      </c>
    </row>
    <row r="482" spans="13:22" customFormat="1" x14ac:dyDescent="0.25">
      <c r="M482" t="s">
        <v>10</v>
      </c>
      <c r="N482" s="35">
        <f t="shared" si="79"/>
        <v>0.89572819033886075</v>
      </c>
      <c r="O482" s="35">
        <f t="shared" si="80"/>
        <v>0.84126984126984117</v>
      </c>
      <c r="P482" s="35">
        <f t="shared" si="78"/>
        <v>5.4458349069019585E-2</v>
      </c>
      <c r="T482" t="s">
        <v>147</v>
      </c>
    </row>
    <row r="483" spans="13:22" customFormat="1" x14ac:dyDescent="0.25">
      <c r="M483" t="s">
        <v>11</v>
      </c>
      <c r="N483" s="35">
        <f t="shared" si="79"/>
        <v>0.95279830569574619</v>
      </c>
      <c r="O483" s="35">
        <f t="shared" si="80"/>
        <v>0.96825396825396814</v>
      </c>
      <c r="P483" s="35">
        <f t="shared" si="78"/>
        <v>1.545566255822195E-2</v>
      </c>
      <c r="S483" t="s">
        <v>222</v>
      </c>
      <c r="T483">
        <v>156</v>
      </c>
    </row>
    <row r="484" spans="13:22" customFormat="1" x14ac:dyDescent="0.25">
      <c r="M484" t="s">
        <v>12</v>
      </c>
      <c r="N484" s="35">
        <f t="shared" si="79"/>
        <v>0.97979001441961067</v>
      </c>
      <c r="O484" s="35">
        <f t="shared" si="80"/>
        <v>0.99603174603174593</v>
      </c>
      <c r="P484" s="35">
        <f t="shared" si="78"/>
        <v>1.6241731612135268E-2</v>
      </c>
      <c r="S484" t="s">
        <v>186</v>
      </c>
      <c r="T484">
        <v>81</v>
      </c>
    </row>
    <row r="485" spans="13:22" customFormat="1" x14ac:dyDescent="0.25">
      <c r="M485" t="s">
        <v>22</v>
      </c>
      <c r="N485" s="35">
        <f t="shared" si="79"/>
        <v>1</v>
      </c>
      <c r="O485" s="35">
        <f t="shared" si="80"/>
        <v>0.99999999999999989</v>
      </c>
      <c r="P485" s="35">
        <f t="shared" si="78"/>
        <v>1.1102230246251565E-16</v>
      </c>
    </row>
    <row r="486" spans="13:22" customFormat="1" x14ac:dyDescent="0.25">
      <c r="M486" t="s">
        <v>15</v>
      </c>
      <c r="N486" s="35"/>
      <c r="O486" s="35"/>
      <c r="P486" s="35">
        <f>MAX(P478:P485)</f>
        <v>5.4458349069019585E-2</v>
      </c>
    </row>
    <row r="487" spans="13:22" customFormat="1" x14ac:dyDescent="0.25">
      <c r="M487" t="s">
        <v>161</v>
      </c>
      <c r="N487" s="35"/>
      <c r="O487" s="35"/>
    </row>
    <row r="488" spans="13:22" customFormat="1" x14ac:dyDescent="0.25">
      <c r="M488" t="s">
        <v>93</v>
      </c>
      <c r="N488" s="35">
        <f t="shared" si="79"/>
        <v>7.2481074260994954E-2</v>
      </c>
      <c r="O488" s="35">
        <f t="shared" si="80"/>
        <v>7.9365079365079361E-3</v>
      </c>
      <c r="P488" s="35">
        <f>ABS(N488-O488)</f>
        <v>6.4544566324487018E-2</v>
      </c>
    </row>
    <row r="489" spans="13:22" customFormat="1" x14ac:dyDescent="0.25">
      <c r="M489" t="s">
        <v>16</v>
      </c>
      <c r="N489" s="35">
        <f t="shared" si="79"/>
        <v>0.13818042537851477</v>
      </c>
      <c r="O489" s="35">
        <f t="shared" si="80"/>
        <v>5.1587301587301584E-2</v>
      </c>
      <c r="P489" s="35">
        <f t="shared" ref="P489:P495" si="81">ABS(N489-O489)</f>
        <v>8.6593123791213186E-2</v>
      </c>
    </row>
    <row r="490" spans="13:22" customFormat="1" x14ac:dyDescent="0.25">
      <c r="M490" t="s">
        <v>17</v>
      </c>
      <c r="N490" s="35">
        <f t="shared" si="79"/>
        <v>0.26574891852919968</v>
      </c>
      <c r="O490" s="35">
        <f t="shared" si="80"/>
        <v>0.26587301587301582</v>
      </c>
      <c r="P490" s="35">
        <f t="shared" si="81"/>
        <v>1.2409734381613191E-4</v>
      </c>
    </row>
    <row r="491" spans="13:22" customFormat="1" x14ac:dyDescent="0.25">
      <c r="M491" t="s">
        <v>18</v>
      </c>
      <c r="N491" s="35">
        <f t="shared" si="79"/>
        <v>0.46505497476568131</v>
      </c>
      <c r="O491" s="35">
        <f t="shared" si="80"/>
        <v>0.5436507936507935</v>
      </c>
      <c r="P491" s="35">
        <f t="shared" si="81"/>
        <v>7.859581888511219E-2</v>
      </c>
    </row>
    <row r="492" spans="13:22" customFormat="1" x14ac:dyDescent="0.25">
      <c r="M492" t="s">
        <v>19</v>
      </c>
      <c r="N492" s="35">
        <f t="shared" si="79"/>
        <v>0.77527937995674123</v>
      </c>
      <c r="O492" s="35">
        <f t="shared" si="80"/>
        <v>0.83333333333333315</v>
      </c>
      <c r="P492" s="35">
        <f t="shared" si="81"/>
        <v>5.8053953376591916E-2</v>
      </c>
    </row>
    <row r="493" spans="13:22" customFormat="1" x14ac:dyDescent="0.25">
      <c r="M493" t="s">
        <v>20</v>
      </c>
      <c r="N493" s="35">
        <f t="shared" si="79"/>
        <v>0.9112067411679885</v>
      </c>
      <c r="O493" s="35">
        <f t="shared" si="80"/>
        <v>0.94047619047619024</v>
      </c>
      <c r="P493" s="35">
        <f t="shared" si="81"/>
        <v>2.9269449308201745E-2</v>
      </c>
    </row>
    <row r="494" spans="13:22" customFormat="1" x14ac:dyDescent="0.25">
      <c r="M494" t="s">
        <v>21</v>
      </c>
      <c r="N494" s="35">
        <f t="shared" si="79"/>
        <v>0.97650054073540027</v>
      </c>
      <c r="O494" s="35">
        <f t="shared" si="80"/>
        <v>0.99206349206349187</v>
      </c>
      <c r="P494" s="35">
        <f t="shared" si="81"/>
        <v>1.5562951328091601E-2</v>
      </c>
    </row>
    <row r="495" spans="13:22" customFormat="1" x14ac:dyDescent="0.25">
      <c r="M495" t="s">
        <v>23</v>
      </c>
      <c r="N495" s="35">
        <f t="shared" si="79"/>
        <v>1</v>
      </c>
      <c r="O495" s="35">
        <f t="shared" si="80"/>
        <v>0.99999999999999978</v>
      </c>
      <c r="P495" s="35">
        <f t="shared" si="81"/>
        <v>2.2204460492503131E-16</v>
      </c>
    </row>
    <row r="496" spans="13:22" customFormat="1" x14ac:dyDescent="0.25">
      <c r="M496" t="s">
        <v>15</v>
      </c>
      <c r="N496" s="35"/>
      <c r="O496" s="35"/>
      <c r="P496" s="35">
        <f>MAX(P488:P495)</f>
        <v>8.6593123791213186E-2</v>
      </c>
    </row>
    <row r="497" spans="13:16" customFormat="1" x14ac:dyDescent="0.25">
      <c r="M497" t="s">
        <v>162</v>
      </c>
      <c r="N497" s="35"/>
      <c r="O497" s="35"/>
    </row>
    <row r="498" spans="13:16" customFormat="1" x14ac:dyDescent="0.25">
      <c r="M498" t="s">
        <v>24</v>
      </c>
      <c r="N498" s="35">
        <f t="shared" si="79"/>
        <v>3.3570656092285506E-3</v>
      </c>
      <c r="O498" s="35">
        <f t="shared" si="80"/>
        <v>0</v>
      </c>
      <c r="P498" s="35">
        <f>ABS(N498-O498)</f>
        <v>3.3570656092285506E-3</v>
      </c>
    </row>
    <row r="499" spans="13:16" customFormat="1" x14ac:dyDescent="0.25">
      <c r="M499" t="s">
        <v>25</v>
      </c>
      <c r="N499" s="35">
        <f t="shared" si="79"/>
        <v>1.3428262436914203E-2</v>
      </c>
      <c r="O499" s="35">
        <f t="shared" si="80"/>
        <v>3.968253968253968E-3</v>
      </c>
      <c r="P499" s="35">
        <f t="shared" ref="P499:P512" si="82">ABS(N499-O499)</f>
        <v>9.4600084686602345E-3</v>
      </c>
    </row>
    <row r="500" spans="13:16" customFormat="1" x14ac:dyDescent="0.25">
      <c r="M500" t="s">
        <v>26</v>
      </c>
      <c r="N500" s="35">
        <f t="shared" si="79"/>
        <v>2.3567051189617879E-2</v>
      </c>
      <c r="O500" s="35">
        <f t="shared" si="80"/>
        <v>3.968253968253968E-3</v>
      </c>
      <c r="P500" s="35">
        <f t="shared" si="82"/>
        <v>1.9598797221363911E-2</v>
      </c>
    </row>
    <row r="501" spans="13:16" customFormat="1" x14ac:dyDescent="0.25">
      <c r="M501" t="s">
        <v>27</v>
      </c>
      <c r="N501" s="35">
        <f t="shared" si="79"/>
        <v>6.2207101658255222E-2</v>
      </c>
      <c r="O501" s="35">
        <f t="shared" si="80"/>
        <v>3.1746031746031744E-2</v>
      </c>
      <c r="P501" s="35">
        <f t="shared" si="82"/>
        <v>3.0461069912223478E-2</v>
      </c>
    </row>
    <row r="502" spans="13:16" customFormat="1" x14ac:dyDescent="0.25">
      <c r="M502" t="s">
        <v>28</v>
      </c>
      <c r="N502" s="35">
        <f t="shared" si="79"/>
        <v>0.13160147801009373</v>
      </c>
      <c r="O502" s="35">
        <f t="shared" si="80"/>
        <v>0.10317460317460317</v>
      </c>
      <c r="P502" s="35">
        <f t="shared" si="82"/>
        <v>2.8426874835490556E-2</v>
      </c>
    </row>
    <row r="503" spans="13:16" customFormat="1" x14ac:dyDescent="0.25">
      <c r="M503" t="s">
        <v>29</v>
      </c>
      <c r="N503" s="35">
        <f t="shared" si="79"/>
        <v>0.25238824801730353</v>
      </c>
      <c r="O503" s="35">
        <f t="shared" si="80"/>
        <v>0.20238095238095238</v>
      </c>
      <c r="P503" s="35">
        <f t="shared" si="82"/>
        <v>5.0007295636351146E-2</v>
      </c>
    </row>
    <row r="504" spans="13:16" customFormat="1" x14ac:dyDescent="0.25">
      <c r="M504" t="s">
        <v>30</v>
      </c>
      <c r="N504" s="35">
        <f t="shared" si="79"/>
        <v>0.42449981975486667</v>
      </c>
      <c r="O504" s="35">
        <f t="shared" si="80"/>
        <v>0.45238095238095233</v>
      </c>
      <c r="P504" s="35">
        <f t="shared" si="82"/>
        <v>2.7881132626085658E-2</v>
      </c>
    </row>
    <row r="505" spans="13:16" customFormat="1" x14ac:dyDescent="0.25">
      <c r="M505" t="s">
        <v>31</v>
      </c>
      <c r="N505" s="35">
        <f t="shared" si="79"/>
        <v>0.77390501081470808</v>
      </c>
      <c r="O505" s="35">
        <f t="shared" si="80"/>
        <v>0.81746031746031744</v>
      </c>
      <c r="P505" s="35">
        <f t="shared" si="82"/>
        <v>4.355530664560936E-2</v>
      </c>
    </row>
    <row r="506" spans="13:16" customFormat="1" x14ac:dyDescent="0.25">
      <c r="M506" t="s">
        <v>32</v>
      </c>
      <c r="N506" s="35">
        <f t="shared" si="79"/>
        <v>0.9112067411679885</v>
      </c>
      <c r="O506" s="35">
        <f t="shared" si="80"/>
        <v>0.91666666666666663</v>
      </c>
      <c r="P506" s="35">
        <f t="shared" si="82"/>
        <v>5.4599254986781309E-3</v>
      </c>
    </row>
    <row r="507" spans="13:16" customFormat="1" x14ac:dyDescent="0.25">
      <c r="M507" t="s">
        <v>33</v>
      </c>
      <c r="N507" s="35">
        <f t="shared" si="79"/>
        <v>0.97492339581831311</v>
      </c>
      <c r="O507" s="35">
        <f t="shared" si="80"/>
        <v>0.95634920634920628</v>
      </c>
      <c r="P507" s="35">
        <f t="shared" si="82"/>
        <v>1.8574189469106828E-2</v>
      </c>
    </row>
    <row r="508" spans="13:16" customFormat="1" x14ac:dyDescent="0.25">
      <c r="M508" t="s">
        <v>34</v>
      </c>
      <c r="N508" s="35">
        <f t="shared" si="79"/>
        <v>0.9850621845710168</v>
      </c>
      <c r="O508" s="35">
        <f t="shared" si="80"/>
        <v>0.98809523809523792</v>
      </c>
      <c r="P508" s="35">
        <f t="shared" si="82"/>
        <v>3.0330535242211187E-3</v>
      </c>
    </row>
    <row r="509" spans="13:16" customFormat="1" x14ac:dyDescent="0.25">
      <c r="M509" t="s">
        <v>35</v>
      </c>
      <c r="N509" s="35">
        <f t="shared" si="79"/>
        <v>0.9934210526315792</v>
      </c>
      <c r="O509" s="35">
        <f t="shared" si="80"/>
        <v>0.99603174603174582</v>
      </c>
      <c r="P509" s="35">
        <f t="shared" si="82"/>
        <v>2.6106934001666193E-3</v>
      </c>
    </row>
    <row r="510" spans="13:16" customFormat="1" x14ac:dyDescent="0.25">
      <c r="M510" t="s">
        <v>36</v>
      </c>
      <c r="N510" s="35">
        <f t="shared" si="79"/>
        <v>0.9934210526315792</v>
      </c>
      <c r="O510" s="35">
        <f t="shared" si="80"/>
        <v>0.99999999999999978</v>
      </c>
      <c r="P510" s="35">
        <f t="shared" si="82"/>
        <v>6.5789473684205735E-3</v>
      </c>
    </row>
    <row r="511" spans="13:16" customFormat="1" x14ac:dyDescent="0.25">
      <c r="M511" t="s">
        <v>37</v>
      </c>
      <c r="N511" s="35">
        <f t="shared" si="79"/>
        <v>0.9950657894736844</v>
      </c>
      <c r="O511" s="35">
        <f t="shared" si="80"/>
        <v>0.99999999999999978</v>
      </c>
      <c r="P511" s="35">
        <f t="shared" si="82"/>
        <v>4.9342105263153746E-3</v>
      </c>
    </row>
    <row r="512" spans="13:16" customFormat="1" x14ac:dyDescent="0.25">
      <c r="M512" t="s">
        <v>38</v>
      </c>
      <c r="N512" s="35">
        <f t="shared" si="79"/>
        <v>1.0000000000000002</v>
      </c>
      <c r="O512" s="35">
        <f t="shared" si="80"/>
        <v>0.99999999999999978</v>
      </c>
      <c r="P512" s="35">
        <f t="shared" si="82"/>
        <v>4.4408920985006262E-16</v>
      </c>
    </row>
    <row r="513" spans="13:16" customFormat="1" x14ac:dyDescent="0.25">
      <c r="M513" t="s">
        <v>15</v>
      </c>
      <c r="N513" s="35"/>
      <c r="O513" s="35"/>
      <c r="P513" s="35">
        <f>MAX(P498:P512)</f>
        <v>5.0007295636351146E-2</v>
      </c>
    </row>
    <row r="514" spans="13:16" customFormat="1" x14ac:dyDescent="0.25">
      <c r="M514" t="s">
        <v>163</v>
      </c>
      <c r="N514" s="35"/>
      <c r="O514" s="35"/>
    </row>
    <row r="515" spans="13:16" customFormat="1" x14ac:dyDescent="0.25">
      <c r="M515" t="s">
        <v>40</v>
      </c>
      <c r="N515" s="35">
        <f t="shared" si="79"/>
        <v>6.7817231434751258E-3</v>
      </c>
      <c r="O515" s="35">
        <f t="shared" si="80"/>
        <v>0</v>
      </c>
      <c r="P515" s="35">
        <f>ABS(N515-O515)</f>
        <v>6.7817231434751258E-3</v>
      </c>
    </row>
    <row r="516" spans="13:16" customFormat="1" x14ac:dyDescent="0.25">
      <c r="M516" t="s">
        <v>41</v>
      </c>
      <c r="N516" s="35">
        <f t="shared" si="79"/>
        <v>1.1918709444844989E-2</v>
      </c>
      <c r="O516" s="35">
        <f t="shared" si="80"/>
        <v>0</v>
      </c>
      <c r="P516" s="35">
        <f t="shared" ref="P516:P529" si="83">ABS(N516-O516)</f>
        <v>1.1918709444844989E-2</v>
      </c>
    </row>
    <row r="517" spans="13:16" customFormat="1" x14ac:dyDescent="0.25">
      <c r="M517" t="s">
        <v>42</v>
      </c>
      <c r="N517" s="35">
        <f t="shared" si="79"/>
        <v>3.0348774333093007E-2</v>
      </c>
      <c r="O517" s="35">
        <f t="shared" si="80"/>
        <v>1.5873015873015872E-2</v>
      </c>
      <c r="P517" s="35">
        <f t="shared" si="83"/>
        <v>1.4475758460077134E-2</v>
      </c>
    </row>
    <row r="518" spans="13:16" customFormat="1" x14ac:dyDescent="0.25">
      <c r="M518" t="s">
        <v>43</v>
      </c>
      <c r="N518" s="35">
        <f t="shared" si="79"/>
        <v>5.5695746214852196E-2</v>
      </c>
      <c r="O518" s="35">
        <f t="shared" si="80"/>
        <v>2.3809523809523808E-2</v>
      </c>
      <c r="P518" s="35">
        <f t="shared" si="83"/>
        <v>3.1886222405328388E-2</v>
      </c>
    </row>
    <row r="519" spans="13:16" customFormat="1" x14ac:dyDescent="0.25">
      <c r="M519" t="s">
        <v>44</v>
      </c>
      <c r="N519" s="35">
        <f t="shared" si="79"/>
        <v>0.11454578226387886</v>
      </c>
      <c r="O519" s="35">
        <f t="shared" si="80"/>
        <v>8.7301587301587297E-2</v>
      </c>
      <c r="P519" s="35">
        <f t="shared" si="83"/>
        <v>2.7244194962291565E-2</v>
      </c>
    </row>
    <row r="520" spans="13:16" customFormat="1" x14ac:dyDescent="0.25">
      <c r="M520" t="s">
        <v>45</v>
      </c>
      <c r="N520" s="35">
        <f t="shared" si="79"/>
        <v>0.16839401586157174</v>
      </c>
      <c r="O520" s="35">
        <f t="shared" si="80"/>
        <v>0.15873015873015872</v>
      </c>
      <c r="P520" s="35">
        <f t="shared" si="83"/>
        <v>9.6638571314130173E-3</v>
      </c>
    </row>
    <row r="521" spans="13:16" customFormat="1" x14ac:dyDescent="0.25">
      <c r="M521" t="s">
        <v>46</v>
      </c>
      <c r="N521" s="35">
        <f t="shared" si="79"/>
        <v>0.32617609949531368</v>
      </c>
      <c r="O521" s="35">
        <f t="shared" si="80"/>
        <v>0.33333333333333331</v>
      </c>
      <c r="P521" s="35">
        <f t="shared" si="83"/>
        <v>7.1572338380196387E-3</v>
      </c>
    </row>
    <row r="522" spans="13:16" customFormat="1" x14ac:dyDescent="0.25">
      <c r="M522" t="s">
        <v>47</v>
      </c>
      <c r="N522" s="35">
        <f t="shared" si="79"/>
        <v>0.49644015861571744</v>
      </c>
      <c r="O522" s="35">
        <f t="shared" si="80"/>
        <v>0.59523809523809523</v>
      </c>
      <c r="P522" s="35">
        <f t="shared" si="83"/>
        <v>9.8797936622377791E-2</v>
      </c>
    </row>
    <row r="523" spans="13:16" customFormat="1" x14ac:dyDescent="0.25">
      <c r="M523" t="s">
        <v>48</v>
      </c>
      <c r="N523" s="35">
        <f t="shared" si="79"/>
        <v>0.72807768565248754</v>
      </c>
      <c r="O523" s="35">
        <f t="shared" si="80"/>
        <v>0.79761904761904767</v>
      </c>
      <c r="P523" s="35">
        <f t="shared" si="83"/>
        <v>6.9541361966560133E-2</v>
      </c>
    </row>
    <row r="524" spans="13:16" customFormat="1" x14ac:dyDescent="0.25">
      <c r="M524" t="s">
        <v>49</v>
      </c>
      <c r="N524" s="35">
        <f t="shared" si="79"/>
        <v>0.83906362653208366</v>
      </c>
      <c r="O524" s="35">
        <f t="shared" si="80"/>
        <v>0.88492063492063489</v>
      </c>
      <c r="P524" s="35">
        <f t="shared" si="83"/>
        <v>4.5857008388551224E-2</v>
      </c>
    </row>
    <row r="525" spans="13:16" customFormat="1" x14ac:dyDescent="0.25">
      <c r="M525" t="s">
        <v>50</v>
      </c>
      <c r="N525" s="35">
        <f t="shared" si="79"/>
        <v>0.93436824080749825</v>
      </c>
      <c r="O525" s="35">
        <f t="shared" si="80"/>
        <v>0.94444444444444442</v>
      </c>
      <c r="P525" s="35">
        <f t="shared" si="83"/>
        <v>1.0076203636946168E-2</v>
      </c>
    </row>
    <row r="526" spans="13:16" customFormat="1" x14ac:dyDescent="0.25">
      <c r="M526" t="s">
        <v>51</v>
      </c>
      <c r="N526" s="35">
        <f t="shared" si="79"/>
        <v>0.97445025234318683</v>
      </c>
      <c r="O526" s="35">
        <f t="shared" si="80"/>
        <v>0.96825396825396814</v>
      </c>
      <c r="P526" s="35">
        <f t="shared" si="83"/>
        <v>6.1962840892186843E-3</v>
      </c>
    </row>
    <row r="527" spans="13:16" customFormat="1" x14ac:dyDescent="0.25">
      <c r="M527" t="s">
        <v>52</v>
      </c>
      <c r="N527" s="35">
        <f t="shared" si="79"/>
        <v>0.99143835616438358</v>
      </c>
      <c r="O527" s="35">
        <f t="shared" si="80"/>
        <v>0.99206349206349198</v>
      </c>
      <c r="P527" s="35">
        <f t="shared" si="83"/>
        <v>6.2513589910839773E-4</v>
      </c>
    </row>
    <row r="528" spans="13:16" customFormat="1" x14ac:dyDescent="0.25">
      <c r="M528" t="s">
        <v>53</v>
      </c>
      <c r="N528" s="35">
        <f t="shared" si="79"/>
        <v>0.99315068493150693</v>
      </c>
      <c r="O528" s="35">
        <f t="shared" si="80"/>
        <v>0.99603174603174593</v>
      </c>
      <c r="P528" s="35">
        <f t="shared" si="83"/>
        <v>2.8810611002390019E-3</v>
      </c>
    </row>
    <row r="529" spans="13:23" customFormat="1" x14ac:dyDescent="0.25">
      <c r="M529" t="s">
        <v>54</v>
      </c>
      <c r="N529" s="35">
        <f t="shared" si="79"/>
        <v>1</v>
      </c>
      <c r="O529" s="35">
        <f t="shared" si="80"/>
        <v>0.99999999999999989</v>
      </c>
      <c r="P529" s="35">
        <f t="shared" si="83"/>
        <v>1.1102230246251565E-16</v>
      </c>
    </row>
    <row r="530" spans="13:23" customFormat="1" x14ac:dyDescent="0.25">
      <c r="M530" t="s">
        <v>15</v>
      </c>
      <c r="P530" s="35">
        <f>MAX(P515:P529)</f>
        <v>9.8797936622377791E-2</v>
      </c>
    </row>
    <row r="532" spans="13:23" customFormat="1" x14ac:dyDescent="0.25">
      <c r="M532" s="37" t="s">
        <v>223</v>
      </c>
      <c r="T532" t="s">
        <v>153</v>
      </c>
    </row>
    <row r="533" spans="13:23" customFormat="1" x14ac:dyDescent="0.25">
      <c r="M533" t="s">
        <v>160</v>
      </c>
      <c r="N533" t="s">
        <v>224</v>
      </c>
      <c r="O533" t="s">
        <v>225</v>
      </c>
      <c r="P533" t="s">
        <v>39</v>
      </c>
      <c r="T533" t="s">
        <v>145</v>
      </c>
      <c r="U533" t="s">
        <v>146</v>
      </c>
      <c r="V533" t="s">
        <v>150</v>
      </c>
    </row>
    <row r="534" spans="13:23" customFormat="1" x14ac:dyDescent="0.25">
      <c r="M534" t="s">
        <v>6</v>
      </c>
      <c r="N534" s="35">
        <f>(N30+N198+O142)/3</f>
        <v>1.5701115421735464E-2</v>
      </c>
      <c r="O534" s="35">
        <f>(N86+N142)/2</f>
        <v>4.5454545454545452E-3</v>
      </c>
      <c r="P534" s="35">
        <f t="shared" ref="P534:P541" si="84">ABS(N534-O534)</f>
        <v>1.1155660876280919E-2</v>
      </c>
      <c r="T534">
        <v>0.1</v>
      </c>
      <c r="U534">
        <v>1.22</v>
      </c>
      <c r="V534">
        <f>SQRT((T539+T540)/(T539*T540))</f>
        <v>0.10175646715493712</v>
      </c>
      <c r="W534">
        <f>PRODUCT(V534, U534)</f>
        <v>0.12414288992902328</v>
      </c>
    </row>
    <row r="535" spans="13:23" customFormat="1" x14ac:dyDescent="0.25">
      <c r="M535" t="s">
        <v>7</v>
      </c>
      <c r="N535" s="35">
        <f t="shared" ref="N535:N585" si="85">(N31+N199+O143)/3</f>
        <v>5.5895808215138974E-2</v>
      </c>
      <c r="O535" s="35">
        <f t="shared" ref="O535:O585" si="86">(N87+N143)/2</f>
        <v>6.8813131313131326E-2</v>
      </c>
      <c r="P535" s="35">
        <f t="shared" si="84"/>
        <v>1.2917323097992352E-2</v>
      </c>
      <c r="T535">
        <v>0.05</v>
      </c>
      <c r="U535">
        <v>1.36</v>
      </c>
      <c r="W535">
        <f>V534*U535</f>
        <v>0.13838879533071449</v>
      </c>
    </row>
    <row r="536" spans="13:23" customFormat="1" x14ac:dyDescent="0.25">
      <c r="M536" t="s">
        <v>8</v>
      </c>
      <c r="N536" s="35">
        <f t="shared" si="85"/>
        <v>0.29767769881324319</v>
      </c>
      <c r="O536" s="35">
        <f t="shared" si="86"/>
        <v>0.29690656565656565</v>
      </c>
      <c r="P536" s="35">
        <f t="shared" si="84"/>
        <v>7.7113315667753923E-4</v>
      </c>
      <c r="T536">
        <v>0.01</v>
      </c>
      <c r="U536">
        <v>1.63</v>
      </c>
      <c r="W536">
        <f>V534*U536</f>
        <v>0.16586304146254749</v>
      </c>
    </row>
    <row r="537" spans="13:23" customFormat="1" x14ac:dyDescent="0.25">
      <c r="M537" t="s">
        <v>9</v>
      </c>
      <c r="N537" s="35">
        <f t="shared" si="85"/>
        <v>0.70298391526762105</v>
      </c>
      <c r="O537" s="35">
        <f t="shared" si="86"/>
        <v>0.66672979797979792</v>
      </c>
      <c r="P537" s="35">
        <f t="shared" si="84"/>
        <v>3.6254117287823129E-2</v>
      </c>
      <c r="R537" t="s">
        <v>216</v>
      </c>
      <c r="V537" s="35">
        <f>MAX(P542, P552, P569, P586)</f>
        <v>9.5685855707485112E-2</v>
      </c>
    </row>
    <row r="538" spans="13:23" customFormat="1" x14ac:dyDescent="0.25">
      <c r="M538" t="s">
        <v>10</v>
      </c>
      <c r="N538" s="35">
        <f t="shared" si="85"/>
        <v>0.87757540731585415</v>
      </c>
      <c r="O538" s="35">
        <f t="shared" si="86"/>
        <v>0.82840909090909087</v>
      </c>
      <c r="P538" s="35">
        <f t="shared" si="84"/>
        <v>4.9166316406763277E-2</v>
      </c>
      <c r="T538" t="s">
        <v>147</v>
      </c>
    </row>
    <row r="539" spans="13:23" customFormat="1" x14ac:dyDescent="0.25">
      <c r="M539" t="s">
        <v>11</v>
      </c>
      <c r="N539" s="35">
        <f t="shared" si="85"/>
        <v>0.95795019321515351</v>
      </c>
      <c r="O539" s="35">
        <f t="shared" si="86"/>
        <v>0.95804924242424239</v>
      </c>
      <c r="P539" s="35">
        <f t="shared" si="84"/>
        <v>9.9049209088875045E-5</v>
      </c>
      <c r="S539" t="s">
        <v>226</v>
      </c>
      <c r="T539">
        <v>237</v>
      </c>
    </row>
    <row r="540" spans="13:23" customFormat="1" x14ac:dyDescent="0.25">
      <c r="M540" t="s">
        <v>12</v>
      </c>
      <c r="N540" s="35">
        <f t="shared" si="85"/>
        <v>0.98520392495698905</v>
      </c>
      <c r="O540" s="35">
        <f t="shared" si="86"/>
        <v>0.98557449494949489</v>
      </c>
      <c r="P540" s="35">
        <f t="shared" si="84"/>
        <v>3.7056999250584255E-4</v>
      </c>
      <c r="S540" t="s">
        <v>227</v>
      </c>
      <c r="T540">
        <v>163</v>
      </c>
    </row>
    <row r="541" spans="13:23" customFormat="1" x14ac:dyDescent="0.25">
      <c r="M541" t="s">
        <v>22</v>
      </c>
      <c r="N541" s="35">
        <f t="shared" si="85"/>
        <v>1</v>
      </c>
      <c r="O541" s="35">
        <f t="shared" si="86"/>
        <v>0.99999999999999989</v>
      </c>
      <c r="P541" s="35">
        <f t="shared" si="84"/>
        <v>1.1102230246251565E-16</v>
      </c>
    </row>
    <row r="542" spans="13:23" customFormat="1" x14ac:dyDescent="0.25">
      <c r="M542" t="s">
        <v>15</v>
      </c>
      <c r="N542" s="35"/>
      <c r="O542" s="35"/>
      <c r="P542" s="35">
        <f>MAX(P534:P541)</f>
        <v>4.9166316406763277E-2</v>
      </c>
    </row>
    <row r="543" spans="13:23" customFormat="1" x14ac:dyDescent="0.25">
      <c r="M543" t="s">
        <v>161</v>
      </c>
      <c r="N543" s="35"/>
      <c r="O543" s="35"/>
    </row>
    <row r="544" spans="13:23" customFormat="1" x14ac:dyDescent="0.25">
      <c r="M544" t="s">
        <v>93</v>
      </c>
      <c r="N544" s="35">
        <f t="shared" si="85"/>
        <v>5.0966218819499282E-2</v>
      </c>
      <c r="O544" s="35">
        <f t="shared" si="86"/>
        <v>7.0296717171717177E-2</v>
      </c>
      <c r="P544" s="35">
        <f>ABS(N544-O544)</f>
        <v>1.9330498352217895E-2</v>
      </c>
    </row>
    <row r="545" spans="13:16" customFormat="1" x14ac:dyDescent="0.25">
      <c r="M545" t="s">
        <v>16</v>
      </c>
      <c r="N545" s="35">
        <f t="shared" si="85"/>
        <v>0.1093160507814437</v>
      </c>
      <c r="O545" s="35">
        <f t="shared" si="86"/>
        <v>0.12001262626262627</v>
      </c>
      <c r="P545" s="35">
        <f t="shared" ref="P545:P551" si="87">ABS(N545-O545)</f>
        <v>1.0696575481182566E-2</v>
      </c>
    </row>
    <row r="546" spans="13:16" customFormat="1" x14ac:dyDescent="0.25">
      <c r="M546" t="s">
        <v>17</v>
      </c>
      <c r="N546" s="35">
        <f t="shared" si="85"/>
        <v>0.26579028431047175</v>
      </c>
      <c r="O546" s="35">
        <f t="shared" si="86"/>
        <v>0.34504419191919194</v>
      </c>
      <c r="P546" s="35">
        <f t="shared" si="87"/>
        <v>7.9253907608720198E-2</v>
      </c>
    </row>
    <row r="547" spans="13:16" customFormat="1" x14ac:dyDescent="0.25">
      <c r="M547" t="s">
        <v>18</v>
      </c>
      <c r="N547" s="35">
        <f t="shared" si="85"/>
        <v>0.49125358106071876</v>
      </c>
      <c r="O547" s="35">
        <f t="shared" si="86"/>
        <v>0.53008207070707081</v>
      </c>
      <c r="P547" s="35">
        <f t="shared" si="87"/>
        <v>3.8828489646352049E-2</v>
      </c>
    </row>
    <row r="548" spans="13:16" customFormat="1" x14ac:dyDescent="0.25">
      <c r="M548" t="s">
        <v>19</v>
      </c>
      <c r="N548" s="35">
        <f t="shared" si="85"/>
        <v>0.79463069774893846</v>
      </c>
      <c r="O548" s="35">
        <f t="shared" si="86"/>
        <v>0.81707702020202022</v>
      </c>
      <c r="P548" s="35">
        <f t="shared" si="87"/>
        <v>2.2446322453081757E-2</v>
      </c>
    </row>
    <row r="549" spans="13:16" customFormat="1" x14ac:dyDescent="0.25">
      <c r="M549" t="s">
        <v>20</v>
      </c>
      <c r="N549" s="35">
        <f t="shared" si="85"/>
        <v>0.92096322427072241</v>
      </c>
      <c r="O549" s="35">
        <f t="shared" si="86"/>
        <v>0.93333333333333335</v>
      </c>
      <c r="P549" s="35">
        <f t="shared" si="87"/>
        <v>1.2370109062610934E-2</v>
      </c>
    </row>
    <row r="550" spans="13:16" customFormat="1" x14ac:dyDescent="0.25">
      <c r="M550" t="s">
        <v>21</v>
      </c>
      <c r="N550" s="35">
        <f t="shared" si="85"/>
        <v>0.98168819117809747</v>
      </c>
      <c r="O550" s="35">
        <f t="shared" si="86"/>
        <v>0.99024621212121211</v>
      </c>
      <c r="P550" s="35">
        <f t="shared" si="87"/>
        <v>8.5580209431146415E-3</v>
      </c>
    </row>
    <row r="551" spans="13:16" customFormat="1" x14ac:dyDescent="0.25">
      <c r="M551" t="s">
        <v>23</v>
      </c>
      <c r="N551" s="35">
        <f t="shared" si="85"/>
        <v>1</v>
      </c>
      <c r="O551" s="35">
        <f t="shared" si="86"/>
        <v>1</v>
      </c>
      <c r="P551" s="35">
        <f t="shared" si="87"/>
        <v>0</v>
      </c>
    </row>
    <row r="552" spans="13:16" customFormat="1" x14ac:dyDescent="0.25">
      <c r="M552" t="s">
        <v>15</v>
      </c>
      <c r="N552" s="35"/>
      <c r="O552" s="35"/>
      <c r="P552" s="35">
        <f>MAX(P544:P551)</f>
        <v>7.9253907608720198E-2</v>
      </c>
    </row>
    <row r="553" spans="13:16" customFormat="1" x14ac:dyDescent="0.25">
      <c r="M553" t="s">
        <v>162</v>
      </c>
      <c r="N553" s="35"/>
      <c r="O553" s="35"/>
    </row>
    <row r="554" spans="13:16" customFormat="1" x14ac:dyDescent="0.25">
      <c r="M554" t="s">
        <v>24</v>
      </c>
      <c r="N554" s="35">
        <f t="shared" si="85"/>
        <v>2.2380437394857004E-3</v>
      </c>
      <c r="O554" s="35">
        <f t="shared" si="86"/>
        <v>0</v>
      </c>
      <c r="P554" s="35">
        <f>ABS(N554-O554)</f>
        <v>2.2380437394857004E-3</v>
      </c>
    </row>
    <row r="555" spans="13:16" customFormat="1" x14ac:dyDescent="0.25">
      <c r="M555" t="s">
        <v>25</v>
      </c>
      <c r="N555" s="35">
        <f t="shared" si="85"/>
        <v>1.0274926280694124E-2</v>
      </c>
      <c r="O555" s="35">
        <f t="shared" si="86"/>
        <v>8.5542929292929289E-3</v>
      </c>
      <c r="P555" s="35">
        <f t="shared" ref="P555:P568" si="88">ABS(N555-O555)</f>
        <v>1.7206333514011955E-3</v>
      </c>
    </row>
    <row r="556" spans="13:16" customFormat="1" x14ac:dyDescent="0.25">
      <c r="M556" t="s">
        <v>26</v>
      </c>
      <c r="N556" s="35">
        <f t="shared" si="85"/>
        <v>1.7034118782496575E-2</v>
      </c>
      <c r="O556" s="35">
        <f t="shared" si="86"/>
        <v>3.5953282828282827E-2</v>
      </c>
      <c r="P556" s="35">
        <f t="shared" si="88"/>
        <v>1.8919164045786252E-2</v>
      </c>
    </row>
    <row r="557" spans="13:16" customFormat="1" x14ac:dyDescent="0.25">
      <c r="M557" t="s">
        <v>27</v>
      </c>
      <c r="N557" s="35">
        <f t="shared" si="85"/>
        <v>5.205341168751406E-2</v>
      </c>
      <c r="O557" s="35">
        <f t="shared" si="86"/>
        <v>5.8806818181818182E-2</v>
      </c>
      <c r="P557" s="35">
        <f t="shared" si="88"/>
        <v>6.7534064943041219E-3</v>
      </c>
    </row>
    <row r="558" spans="13:16" customFormat="1" x14ac:dyDescent="0.25">
      <c r="M558" t="s">
        <v>28</v>
      </c>
      <c r="N558" s="35">
        <f t="shared" si="85"/>
        <v>0.12212585306493022</v>
      </c>
      <c r="O558" s="35">
        <f t="shared" si="86"/>
        <v>0.1376578282828283</v>
      </c>
      <c r="P558" s="35">
        <f t="shared" si="88"/>
        <v>1.5531975217898078E-2</v>
      </c>
    </row>
    <row r="559" spans="13:16" customFormat="1" x14ac:dyDescent="0.25">
      <c r="M559" t="s">
        <v>29</v>
      </c>
      <c r="N559" s="35">
        <f t="shared" si="85"/>
        <v>0.23571914947185313</v>
      </c>
      <c r="O559" s="35">
        <f t="shared" si="86"/>
        <v>0.26300505050505046</v>
      </c>
      <c r="P559" s="35">
        <f t="shared" si="88"/>
        <v>2.7285901033197335E-2</v>
      </c>
    </row>
    <row r="560" spans="13:16" customFormat="1" x14ac:dyDescent="0.25">
      <c r="M560" t="s">
        <v>30</v>
      </c>
      <c r="N560" s="35">
        <f t="shared" si="85"/>
        <v>0.43379353063022857</v>
      </c>
      <c r="O560" s="35">
        <f t="shared" si="86"/>
        <v>0.48986742424242419</v>
      </c>
      <c r="P560" s="35">
        <f t="shared" si="88"/>
        <v>5.6073893612195613E-2</v>
      </c>
    </row>
    <row r="561" spans="13:16" customFormat="1" x14ac:dyDescent="0.25">
      <c r="M561" t="s">
        <v>31</v>
      </c>
      <c r="N561" s="35">
        <f t="shared" si="85"/>
        <v>0.78842344636324457</v>
      </c>
      <c r="O561" s="35">
        <f t="shared" si="86"/>
        <v>0.79100378787878789</v>
      </c>
      <c r="P561" s="35">
        <f t="shared" si="88"/>
        <v>2.5803415155433163E-3</v>
      </c>
    </row>
    <row r="562" spans="13:16" customFormat="1" x14ac:dyDescent="0.25">
      <c r="M562" t="s">
        <v>32</v>
      </c>
      <c r="N562" s="35">
        <f t="shared" si="85"/>
        <v>0.91302671633421451</v>
      </c>
      <c r="O562" s="35">
        <f t="shared" si="86"/>
        <v>0.90577651515151514</v>
      </c>
      <c r="P562" s="35">
        <f t="shared" si="88"/>
        <v>7.2502011826993673E-3</v>
      </c>
    </row>
    <row r="563" spans="13:16" customFormat="1" x14ac:dyDescent="0.25">
      <c r="M563" t="s">
        <v>33</v>
      </c>
      <c r="N563" s="35">
        <f t="shared" si="85"/>
        <v>0.96873199932861087</v>
      </c>
      <c r="O563" s="35">
        <f t="shared" si="86"/>
        <v>0.94974747474747467</v>
      </c>
      <c r="P563" s="35">
        <f t="shared" si="88"/>
        <v>1.8984524581136197E-2</v>
      </c>
    </row>
    <row r="564" spans="13:16" customFormat="1" x14ac:dyDescent="0.25">
      <c r="M564" t="s">
        <v>34</v>
      </c>
      <c r="N564" s="35">
        <f t="shared" si="85"/>
        <v>0.98607320241242391</v>
      </c>
      <c r="O564" s="35">
        <f t="shared" si="86"/>
        <v>0.98342803030303017</v>
      </c>
      <c r="P564" s="35">
        <f t="shared" si="88"/>
        <v>2.6451721093937453E-3</v>
      </c>
    </row>
    <row r="565" spans="13:16" customFormat="1" x14ac:dyDescent="0.25">
      <c r="M565" t="s">
        <v>35</v>
      </c>
      <c r="N565" s="35">
        <f t="shared" si="85"/>
        <v>0.99429128376496811</v>
      </c>
      <c r="O565" s="35">
        <f t="shared" si="86"/>
        <v>0.99652777777777757</v>
      </c>
      <c r="P565" s="35">
        <f t="shared" si="88"/>
        <v>2.2364940128094535E-3</v>
      </c>
    </row>
    <row r="566" spans="13:16" customFormat="1" x14ac:dyDescent="0.25">
      <c r="M566" t="s">
        <v>36</v>
      </c>
      <c r="N566" s="35">
        <f t="shared" si="85"/>
        <v>0.99561403508771951</v>
      </c>
      <c r="O566" s="35">
        <f t="shared" si="86"/>
        <v>0.99652777777777757</v>
      </c>
      <c r="P566" s="35">
        <f t="shared" si="88"/>
        <v>9.1374269005806141E-4</v>
      </c>
    </row>
    <row r="567" spans="13:16" customFormat="1" x14ac:dyDescent="0.25">
      <c r="M567" t="s">
        <v>37</v>
      </c>
      <c r="N567" s="35">
        <f t="shared" si="85"/>
        <v>0.99671052631578949</v>
      </c>
      <c r="O567" s="35">
        <f t="shared" si="86"/>
        <v>0.99826388888888862</v>
      </c>
      <c r="P567" s="35">
        <f t="shared" si="88"/>
        <v>1.5533625730991263E-3</v>
      </c>
    </row>
    <row r="568" spans="13:16" customFormat="1" x14ac:dyDescent="0.25">
      <c r="M568" t="s">
        <v>38</v>
      </c>
      <c r="N568" s="35">
        <f t="shared" si="85"/>
        <v>1</v>
      </c>
      <c r="O568" s="35">
        <f t="shared" si="86"/>
        <v>0.99999999999999978</v>
      </c>
      <c r="P568" s="35">
        <f t="shared" si="88"/>
        <v>2.2204460492503131E-16</v>
      </c>
    </row>
    <row r="569" spans="13:16" customFormat="1" x14ac:dyDescent="0.25">
      <c r="M569" t="s">
        <v>15</v>
      </c>
      <c r="N569" s="35"/>
      <c r="O569" s="35"/>
      <c r="P569" s="35">
        <f>MAX(P554:P568)</f>
        <v>5.6073893612195613E-2</v>
      </c>
    </row>
    <row r="570" spans="13:16" customFormat="1" x14ac:dyDescent="0.25">
      <c r="M570" t="s">
        <v>163</v>
      </c>
      <c r="N570" s="35"/>
      <c r="O570" s="35"/>
    </row>
    <row r="571" spans="13:16" customFormat="1" x14ac:dyDescent="0.25">
      <c r="M571" t="s">
        <v>40</v>
      </c>
      <c r="N571" s="35">
        <f t="shared" si="85"/>
        <v>4.5211487623167505E-3</v>
      </c>
      <c r="O571" s="35">
        <f t="shared" si="86"/>
        <v>1.3383838383838383E-2</v>
      </c>
      <c r="P571" s="35">
        <f>ABS(N571-O571)</f>
        <v>8.8626896215216328E-3</v>
      </c>
    </row>
    <row r="572" spans="13:16" customFormat="1" x14ac:dyDescent="0.25">
      <c r="M572" t="s">
        <v>41</v>
      </c>
      <c r="N572" s="35">
        <f t="shared" si="85"/>
        <v>7.9458062965633257E-3</v>
      </c>
      <c r="O572" s="35">
        <f t="shared" si="86"/>
        <v>1.7550505050505052E-2</v>
      </c>
      <c r="P572" s="35">
        <f t="shared" ref="P572:P585" si="89">ABS(N572-O572)</f>
        <v>9.6046987539417268E-3</v>
      </c>
    </row>
    <row r="573" spans="13:16" customFormat="1" x14ac:dyDescent="0.25">
      <c r="M573" t="s">
        <v>42</v>
      </c>
      <c r="N573" s="35">
        <f t="shared" si="85"/>
        <v>2.5523521513067294E-2</v>
      </c>
      <c r="O573" s="35">
        <f t="shared" si="86"/>
        <v>3.3585858585858587E-2</v>
      </c>
      <c r="P573" s="35">
        <f t="shared" si="89"/>
        <v>8.0623370727912931E-3</v>
      </c>
    </row>
    <row r="574" spans="13:16" customFormat="1" x14ac:dyDescent="0.25">
      <c r="M574" t="s">
        <v>43</v>
      </c>
      <c r="N574" s="35">
        <f t="shared" si="85"/>
        <v>4.5067005413076067E-2</v>
      </c>
      <c r="O574" s="35">
        <f t="shared" si="86"/>
        <v>5.1388888888888887E-2</v>
      </c>
      <c r="P574" s="35">
        <f t="shared" si="89"/>
        <v>6.3218834758128201E-3</v>
      </c>
    </row>
    <row r="575" spans="13:16" customFormat="1" x14ac:dyDescent="0.25">
      <c r="M575" t="s">
        <v>44</v>
      </c>
      <c r="N575" s="35">
        <f t="shared" si="85"/>
        <v>0.10546438394311501</v>
      </c>
      <c r="O575" s="35">
        <f t="shared" si="86"/>
        <v>0.13244949494949496</v>
      </c>
      <c r="P575" s="35">
        <f t="shared" si="89"/>
        <v>2.6985111006379944E-2</v>
      </c>
    </row>
    <row r="576" spans="13:16" customFormat="1" x14ac:dyDescent="0.25">
      <c r="M576" t="s">
        <v>45</v>
      </c>
      <c r="N576" s="35">
        <f t="shared" si="85"/>
        <v>0.16517273015110073</v>
      </c>
      <c r="O576" s="35">
        <f t="shared" si="86"/>
        <v>0.26085858585858585</v>
      </c>
      <c r="P576" s="35">
        <f t="shared" si="89"/>
        <v>9.5685855707485112E-2</v>
      </c>
    </row>
    <row r="577" spans="13:23" customFormat="1" x14ac:dyDescent="0.25">
      <c r="M577" t="s">
        <v>46</v>
      </c>
      <c r="N577" s="35">
        <f t="shared" si="85"/>
        <v>0.32856184410798689</v>
      </c>
      <c r="O577" s="35">
        <f t="shared" si="86"/>
        <v>0.41300505050505054</v>
      </c>
      <c r="P577" s="35">
        <f t="shared" si="89"/>
        <v>8.4443206397063653E-2</v>
      </c>
    </row>
    <row r="578" spans="13:23" customFormat="1" x14ac:dyDescent="0.25">
      <c r="M578" t="s">
        <v>47</v>
      </c>
      <c r="N578" s="35">
        <f t="shared" si="85"/>
        <v>0.52937280415651011</v>
      </c>
      <c r="O578" s="35">
        <f t="shared" si="86"/>
        <v>0.60972222222222228</v>
      </c>
      <c r="P578" s="35">
        <f t="shared" si="89"/>
        <v>8.0349418065712164E-2</v>
      </c>
    </row>
    <row r="579" spans="13:23" customFormat="1" x14ac:dyDescent="0.25">
      <c r="M579" t="s">
        <v>48</v>
      </c>
      <c r="N579" s="35">
        <f t="shared" si="85"/>
        <v>0.75125813964134081</v>
      </c>
      <c r="O579" s="35">
        <f t="shared" si="86"/>
        <v>0.78282828282828276</v>
      </c>
      <c r="P579" s="35">
        <f t="shared" si="89"/>
        <v>3.1570143186941957E-2</v>
      </c>
    </row>
    <row r="580" spans="13:23" customFormat="1" x14ac:dyDescent="0.25">
      <c r="M580" t="s">
        <v>49</v>
      </c>
      <c r="N580" s="35">
        <f t="shared" si="85"/>
        <v>0.85434929599493403</v>
      </c>
      <c r="O580" s="35">
        <f t="shared" si="86"/>
        <v>0.87499999999999989</v>
      </c>
      <c r="P580" s="35">
        <f t="shared" si="89"/>
        <v>2.0650704005065856E-2</v>
      </c>
    </row>
    <row r="581" spans="13:23" customFormat="1" x14ac:dyDescent="0.25">
      <c r="M581" t="s">
        <v>50</v>
      </c>
      <c r="N581" s="35">
        <f t="shared" si="85"/>
        <v>0.93772697535314686</v>
      </c>
      <c r="O581" s="35">
        <f t="shared" si="86"/>
        <v>0.94709595959595938</v>
      </c>
      <c r="P581" s="35">
        <f t="shared" si="89"/>
        <v>9.368984242812517E-3</v>
      </c>
    </row>
    <row r="582" spans="13:23" customFormat="1" x14ac:dyDescent="0.25">
      <c r="M582" t="s">
        <v>51</v>
      </c>
      <c r="N582" s="35">
        <f t="shared" si="85"/>
        <v>0.9723848243134473</v>
      </c>
      <c r="O582" s="35">
        <f t="shared" si="86"/>
        <v>0.97462121212121189</v>
      </c>
      <c r="P582" s="35">
        <f t="shared" si="89"/>
        <v>2.2363878077645838E-3</v>
      </c>
    </row>
    <row r="583" spans="13:23" customFormat="1" x14ac:dyDescent="0.25">
      <c r="M583" t="s">
        <v>52</v>
      </c>
      <c r="N583" s="35">
        <f t="shared" si="85"/>
        <v>0.99164673479741972</v>
      </c>
      <c r="O583" s="35">
        <f t="shared" si="86"/>
        <v>0.99356060606060592</v>
      </c>
      <c r="P583" s="35">
        <f t="shared" si="89"/>
        <v>1.9138712631862065E-3</v>
      </c>
    </row>
    <row r="584" spans="13:23" customFormat="1" x14ac:dyDescent="0.25">
      <c r="M584" t="s">
        <v>53</v>
      </c>
      <c r="N584" s="35">
        <f t="shared" si="85"/>
        <v>0.99411103863158656</v>
      </c>
      <c r="O584" s="35">
        <f t="shared" si="86"/>
        <v>0.99861111111111089</v>
      </c>
      <c r="P584" s="35">
        <f t="shared" si="89"/>
        <v>4.5000724795243308E-3</v>
      </c>
    </row>
    <row r="585" spans="13:23" customFormat="1" x14ac:dyDescent="0.25">
      <c r="M585" t="s">
        <v>54</v>
      </c>
      <c r="N585" s="35">
        <f t="shared" si="85"/>
        <v>1</v>
      </c>
      <c r="O585" s="35">
        <f t="shared" si="86"/>
        <v>0.99999999999999978</v>
      </c>
      <c r="P585" s="35">
        <f t="shared" si="89"/>
        <v>2.2204460492503131E-16</v>
      </c>
    </row>
    <row r="586" spans="13:23" customFormat="1" x14ac:dyDescent="0.25">
      <c r="M586" t="s">
        <v>15</v>
      </c>
      <c r="P586" s="35">
        <f>MAX(P571:P585)</f>
        <v>9.5685855707485112E-2</v>
      </c>
    </row>
    <row r="588" spans="13:23" customFormat="1" x14ac:dyDescent="0.25">
      <c r="M588" s="37" t="s">
        <v>228</v>
      </c>
      <c r="T588" t="s">
        <v>153</v>
      </c>
    </row>
    <row r="589" spans="13:23" customFormat="1" x14ac:dyDescent="0.25">
      <c r="M589" t="s">
        <v>160</v>
      </c>
      <c r="N589" t="s">
        <v>229</v>
      </c>
      <c r="O589" t="s">
        <v>230</v>
      </c>
      <c r="P589" t="s">
        <v>39</v>
      </c>
      <c r="T589" t="s">
        <v>145</v>
      </c>
      <c r="U589" t="s">
        <v>146</v>
      </c>
      <c r="V589" t="s">
        <v>150</v>
      </c>
    </row>
    <row r="590" spans="13:23" customFormat="1" x14ac:dyDescent="0.25">
      <c r="M590" t="s">
        <v>6</v>
      </c>
      <c r="N590" s="35">
        <f>(N30+N198+O422)/3</f>
        <v>9.0873588079788507E-3</v>
      </c>
      <c r="O590" s="35">
        <f>(O142+O310)/2</f>
        <v>1.4466089466089465E-2</v>
      </c>
      <c r="P590" s="35">
        <f t="shared" ref="P590:P597" si="90">ABS(N590-O590)</f>
        <v>5.3787306581106146E-3</v>
      </c>
      <c r="T590">
        <v>0.1</v>
      </c>
      <c r="U590">
        <v>1.22</v>
      </c>
      <c r="V590">
        <f>SQRT((T595+T596)/(T595*T596))</f>
        <v>0.10275479134285173</v>
      </c>
      <c r="W590">
        <f>PRODUCT(V590, U590)</f>
        <v>0.12536084543827911</v>
      </c>
    </row>
    <row r="591" spans="13:23" customFormat="1" x14ac:dyDescent="0.25">
      <c r="M591" t="s">
        <v>7</v>
      </c>
      <c r="N591" s="35">
        <f t="shared" ref="N591:N641" si="91">(N31+N199+O423)/3</f>
        <v>5.5234432553763313E-2</v>
      </c>
      <c r="O591" s="35">
        <f t="shared" ref="O591:O641" si="92">(O143+O311)/2</f>
        <v>6.9805194805194815E-2</v>
      </c>
      <c r="P591" s="35">
        <f t="shared" si="90"/>
        <v>1.4570762251431502E-2</v>
      </c>
      <c r="T591">
        <v>0.05</v>
      </c>
      <c r="U591">
        <v>1.36</v>
      </c>
      <c r="W591">
        <f>V590*U591</f>
        <v>0.13974651622627837</v>
      </c>
    </row>
    <row r="592" spans="13:23" customFormat="1" x14ac:dyDescent="0.25">
      <c r="M592" t="s">
        <v>8</v>
      </c>
      <c r="N592" s="35">
        <f t="shared" si="91"/>
        <v>0.3052835189190633</v>
      </c>
      <c r="O592" s="35">
        <f t="shared" si="92"/>
        <v>0.28549783549783547</v>
      </c>
      <c r="P592" s="35">
        <f t="shared" si="90"/>
        <v>1.9785683421227829E-2</v>
      </c>
      <c r="T592">
        <v>0.01</v>
      </c>
      <c r="U592">
        <v>1.63</v>
      </c>
      <c r="W592">
        <f>V590*U592</f>
        <v>0.1674903098888483</v>
      </c>
    </row>
    <row r="593" spans="13:22" customFormat="1" x14ac:dyDescent="0.25">
      <c r="M593" t="s">
        <v>9</v>
      </c>
      <c r="N593" s="35">
        <f t="shared" si="91"/>
        <v>0.71521936500307071</v>
      </c>
      <c r="O593" s="35">
        <f t="shared" si="92"/>
        <v>0.64837662337662327</v>
      </c>
      <c r="P593" s="35">
        <f t="shared" si="90"/>
        <v>6.6842741626447433E-2</v>
      </c>
      <c r="R593" t="s">
        <v>216</v>
      </c>
      <c r="V593" s="35">
        <f>MAX(P598, P608, P625, P642)</f>
        <v>0.10184412706042123</v>
      </c>
    </row>
    <row r="594" spans="13:22" customFormat="1" x14ac:dyDescent="0.25">
      <c r="M594" t="s">
        <v>10</v>
      </c>
      <c r="N594" s="35">
        <f t="shared" si="91"/>
        <v>0.88881879355924054</v>
      </c>
      <c r="O594" s="35">
        <f t="shared" si="92"/>
        <v>0.81154401154401146</v>
      </c>
      <c r="P594" s="35">
        <f t="shared" si="90"/>
        <v>7.7274782015229082E-2</v>
      </c>
      <c r="T594" t="s">
        <v>147</v>
      </c>
    </row>
    <row r="595" spans="13:22" customFormat="1" x14ac:dyDescent="0.25">
      <c r="M595" t="s">
        <v>11</v>
      </c>
      <c r="N595" s="35">
        <f t="shared" si="91"/>
        <v>0.95117109268605304</v>
      </c>
      <c r="O595" s="35">
        <f t="shared" si="92"/>
        <v>0.96821789321789309</v>
      </c>
      <c r="P595" s="35">
        <f t="shared" si="90"/>
        <v>1.7046800531840045E-2</v>
      </c>
      <c r="S595" t="s">
        <v>231</v>
      </c>
      <c r="T595">
        <v>246</v>
      </c>
    </row>
    <row r="596" spans="13:22" customFormat="1" x14ac:dyDescent="0.25">
      <c r="M596" t="s">
        <v>12</v>
      </c>
      <c r="N596" s="35">
        <f t="shared" si="91"/>
        <v>0.97842482442788858</v>
      </c>
      <c r="O596" s="35">
        <f t="shared" si="92"/>
        <v>0.9957431457431456</v>
      </c>
      <c r="P596" s="35">
        <f t="shared" si="90"/>
        <v>1.7318321315257013E-2</v>
      </c>
      <c r="S596" t="s">
        <v>232</v>
      </c>
      <c r="T596">
        <v>154</v>
      </c>
    </row>
    <row r="597" spans="13:22" customFormat="1" x14ac:dyDescent="0.25">
      <c r="M597" t="s">
        <v>22</v>
      </c>
      <c r="N597" s="35">
        <f t="shared" si="91"/>
        <v>1</v>
      </c>
      <c r="O597" s="35">
        <f t="shared" si="92"/>
        <v>0.99999999999999989</v>
      </c>
      <c r="P597" s="35">
        <f t="shared" si="90"/>
        <v>1.1102230246251565E-16</v>
      </c>
    </row>
    <row r="598" spans="13:22" customFormat="1" x14ac:dyDescent="0.25">
      <c r="M598" t="s">
        <v>15</v>
      </c>
      <c r="N598" s="35"/>
      <c r="O598" s="35"/>
      <c r="P598" s="35">
        <f>MAX(P590:P597)</f>
        <v>7.7274782015229082E-2</v>
      </c>
    </row>
    <row r="599" spans="13:22" customFormat="1" x14ac:dyDescent="0.25">
      <c r="M599" t="s">
        <v>161</v>
      </c>
      <c r="N599" s="35"/>
      <c r="O599" s="35"/>
    </row>
    <row r="600" spans="13:22" customFormat="1" x14ac:dyDescent="0.25">
      <c r="M600" t="s">
        <v>93</v>
      </c>
      <c r="N600" s="35">
        <f t="shared" si="91"/>
        <v>6.336701247029293E-2</v>
      </c>
      <c r="O600" s="35">
        <f t="shared" si="92"/>
        <v>5.1695526695526697E-2</v>
      </c>
      <c r="P600" s="35">
        <f>ABS(N600-O600)</f>
        <v>1.1671485774766233E-2</v>
      </c>
    </row>
    <row r="601" spans="13:22" customFormat="1" x14ac:dyDescent="0.25">
      <c r="M601" t="s">
        <v>16</v>
      </c>
      <c r="N601" s="35">
        <f t="shared" si="91"/>
        <v>0.11758324654863948</v>
      </c>
      <c r="O601" s="35">
        <f t="shared" si="92"/>
        <v>0.1076118326118326</v>
      </c>
      <c r="P601" s="35">
        <f t="shared" ref="P601:P607" si="93">ABS(N601-O601)</f>
        <v>9.9714139368068805E-3</v>
      </c>
    </row>
    <row r="602" spans="13:22" customFormat="1" x14ac:dyDescent="0.25">
      <c r="M602" t="s">
        <v>17</v>
      </c>
      <c r="N602" s="35">
        <f t="shared" si="91"/>
        <v>0.26628631605650349</v>
      </c>
      <c r="O602" s="35">
        <f t="shared" si="92"/>
        <v>0.34430014430014427</v>
      </c>
      <c r="P602" s="35">
        <f t="shared" si="93"/>
        <v>7.8013828243640782E-2</v>
      </c>
    </row>
    <row r="603" spans="13:22" customFormat="1" x14ac:dyDescent="0.25">
      <c r="M603" t="s">
        <v>18</v>
      </c>
      <c r="N603" s="35">
        <f t="shared" si="91"/>
        <v>0.47554590910304678</v>
      </c>
      <c r="O603" s="35">
        <f t="shared" si="92"/>
        <v>0.5536435786435786</v>
      </c>
      <c r="P603" s="35">
        <f t="shared" si="93"/>
        <v>7.8097669540531822E-2</v>
      </c>
    </row>
    <row r="604" spans="13:22" customFormat="1" x14ac:dyDescent="0.25">
      <c r="M604" t="s">
        <v>19</v>
      </c>
      <c r="N604" s="35">
        <f t="shared" si="91"/>
        <v>0.7888436607119016</v>
      </c>
      <c r="O604" s="35">
        <f t="shared" si="92"/>
        <v>0.82575757575757569</v>
      </c>
      <c r="P604" s="35">
        <f t="shared" si="93"/>
        <v>3.6913915045674095E-2</v>
      </c>
    </row>
    <row r="605" spans="13:22" customFormat="1" x14ac:dyDescent="0.25">
      <c r="M605" t="s">
        <v>20</v>
      </c>
      <c r="N605" s="35">
        <f t="shared" si="91"/>
        <v>0.91302671633421451</v>
      </c>
      <c r="O605" s="35">
        <f t="shared" si="92"/>
        <v>0.94523809523809521</v>
      </c>
      <c r="P605" s="35">
        <f t="shared" si="93"/>
        <v>3.2211378903880705E-2</v>
      </c>
    </row>
    <row r="606" spans="13:22" customFormat="1" x14ac:dyDescent="0.25">
      <c r="M606" t="s">
        <v>21</v>
      </c>
      <c r="N606" s="35">
        <f t="shared" si="91"/>
        <v>0.98086147160137793</v>
      </c>
      <c r="O606" s="35">
        <f t="shared" si="92"/>
        <v>0.99148629148629142</v>
      </c>
      <c r="P606" s="35">
        <f t="shared" si="93"/>
        <v>1.0624819884913483E-2</v>
      </c>
    </row>
    <row r="607" spans="13:22" customFormat="1" x14ac:dyDescent="0.25">
      <c r="M607" t="s">
        <v>23</v>
      </c>
      <c r="N607" s="35">
        <f t="shared" si="91"/>
        <v>1</v>
      </c>
      <c r="O607" s="35">
        <f t="shared" si="92"/>
        <v>0.99999999999999989</v>
      </c>
      <c r="P607" s="35">
        <f t="shared" si="93"/>
        <v>1.1102230246251565E-16</v>
      </c>
    </row>
    <row r="608" spans="13:22" customFormat="1" x14ac:dyDescent="0.25">
      <c r="M608" t="s">
        <v>15</v>
      </c>
      <c r="N608" s="35"/>
      <c r="O608" s="35"/>
      <c r="P608" s="35">
        <f>MAX(P600:P607)</f>
        <v>7.8097669540531822E-2</v>
      </c>
    </row>
    <row r="609" spans="13:16" customFormat="1" x14ac:dyDescent="0.25">
      <c r="M609" t="s">
        <v>162</v>
      </c>
      <c r="N609" s="35"/>
      <c r="O609" s="35"/>
    </row>
    <row r="610" spans="13:16" customFormat="1" x14ac:dyDescent="0.25">
      <c r="M610" t="s">
        <v>24</v>
      </c>
      <c r="N610" s="35">
        <f t="shared" si="91"/>
        <v>2.2380437394857004E-3</v>
      </c>
      <c r="O610" s="35">
        <f t="shared" si="92"/>
        <v>0</v>
      </c>
      <c r="P610" s="35">
        <f>ABS(N610-O610)</f>
        <v>2.2380437394857004E-3</v>
      </c>
    </row>
    <row r="611" spans="13:16" customFormat="1" x14ac:dyDescent="0.25">
      <c r="M611" t="s">
        <v>25</v>
      </c>
      <c r="N611" s="35">
        <f t="shared" si="91"/>
        <v>1.0109582365350209E-2</v>
      </c>
      <c r="O611" s="35">
        <f t="shared" si="92"/>
        <v>8.802308802308801E-3</v>
      </c>
      <c r="P611" s="35">
        <f t="shared" ref="P611:P624" si="94">ABS(N611-O611)</f>
        <v>1.3072735630414081E-3</v>
      </c>
    </row>
    <row r="612" spans="13:16" customFormat="1" x14ac:dyDescent="0.25">
      <c r="M612" t="s">
        <v>26</v>
      </c>
      <c r="N612" s="35">
        <f t="shared" si="91"/>
        <v>2.1498404496782291E-2</v>
      </c>
      <c r="O612" s="35">
        <f t="shared" si="92"/>
        <v>2.9256854256854255E-2</v>
      </c>
      <c r="P612" s="35">
        <f t="shared" si="94"/>
        <v>7.7584497600719643E-3</v>
      </c>
    </row>
    <row r="613" spans="13:16" customFormat="1" x14ac:dyDescent="0.25">
      <c r="M613" t="s">
        <v>27</v>
      </c>
      <c r="N613" s="35">
        <f t="shared" si="91"/>
        <v>5.1888067772170143E-2</v>
      </c>
      <c r="O613" s="35">
        <f t="shared" si="92"/>
        <v>5.9054834054834054E-2</v>
      </c>
      <c r="P613" s="35">
        <f t="shared" si="94"/>
        <v>7.1667662826639111E-3</v>
      </c>
    </row>
    <row r="614" spans="13:16" customFormat="1" x14ac:dyDescent="0.25">
      <c r="M614" t="s">
        <v>28</v>
      </c>
      <c r="N614" s="35">
        <f t="shared" si="91"/>
        <v>0.11435468904376618</v>
      </c>
      <c r="O614" s="35">
        <f t="shared" si="92"/>
        <v>0.14931457431457432</v>
      </c>
      <c r="P614" s="35">
        <f t="shared" si="94"/>
        <v>3.4959885270808136E-2</v>
      </c>
    </row>
    <row r="615" spans="13:16" customFormat="1" x14ac:dyDescent="0.25">
      <c r="M615" t="s">
        <v>29</v>
      </c>
      <c r="N615" s="35">
        <f t="shared" si="91"/>
        <v>0.22844401719672089</v>
      </c>
      <c r="O615" s="35">
        <f t="shared" si="92"/>
        <v>0.27391774891774889</v>
      </c>
      <c r="P615" s="35">
        <f t="shared" si="94"/>
        <v>4.5473731721028005E-2</v>
      </c>
    </row>
    <row r="616" spans="13:16" customFormat="1" x14ac:dyDescent="0.25">
      <c r="M616" t="s">
        <v>30</v>
      </c>
      <c r="N616" s="35">
        <f t="shared" si="91"/>
        <v>0.43230543539213334</v>
      </c>
      <c r="O616" s="35">
        <f t="shared" si="92"/>
        <v>0.49209956709956704</v>
      </c>
      <c r="P616" s="35">
        <f t="shared" si="94"/>
        <v>5.9794131707433695E-2</v>
      </c>
    </row>
    <row r="617" spans="13:16" customFormat="1" x14ac:dyDescent="0.25">
      <c r="M617" t="s">
        <v>31</v>
      </c>
      <c r="N617" s="35">
        <f t="shared" si="91"/>
        <v>0.7902422294320276</v>
      </c>
      <c r="O617" s="35">
        <f t="shared" si="92"/>
        <v>0.78827561327561324</v>
      </c>
      <c r="P617" s="35">
        <f t="shared" si="94"/>
        <v>1.9666161564143581E-3</v>
      </c>
    </row>
    <row r="618" spans="13:16" customFormat="1" x14ac:dyDescent="0.25">
      <c r="M618" t="s">
        <v>32</v>
      </c>
      <c r="N618" s="35">
        <f t="shared" si="91"/>
        <v>0.92344338300088114</v>
      </c>
      <c r="O618" s="35">
        <f t="shared" si="92"/>
        <v>0.89015151515151514</v>
      </c>
      <c r="P618" s="35">
        <f t="shared" si="94"/>
        <v>3.3291867849365997E-2</v>
      </c>
    </row>
    <row r="619" spans="13:16" customFormat="1" x14ac:dyDescent="0.25">
      <c r="M619" t="s">
        <v>33</v>
      </c>
      <c r="N619" s="35">
        <f t="shared" si="91"/>
        <v>0.97402300461961611</v>
      </c>
      <c r="O619" s="35">
        <f t="shared" si="92"/>
        <v>0.94181096681096665</v>
      </c>
      <c r="P619" s="35">
        <f t="shared" si="94"/>
        <v>3.2212037808649452E-2</v>
      </c>
    </row>
    <row r="620" spans="13:16" customFormat="1" x14ac:dyDescent="0.25">
      <c r="M620" t="s">
        <v>34</v>
      </c>
      <c r="N620" s="35">
        <f t="shared" si="91"/>
        <v>0.98656923415845554</v>
      </c>
      <c r="O620" s="35">
        <f t="shared" si="92"/>
        <v>0.98268398268398249</v>
      </c>
      <c r="P620" s="35">
        <f t="shared" si="94"/>
        <v>3.8852514744730504E-3</v>
      </c>
    </row>
    <row r="621" spans="13:16" customFormat="1" x14ac:dyDescent="0.25">
      <c r="M621" t="s">
        <v>35</v>
      </c>
      <c r="N621" s="35">
        <f t="shared" si="91"/>
        <v>0.99329922027290463</v>
      </c>
      <c r="O621" s="35">
        <f t="shared" si="92"/>
        <v>0.9980158730158728</v>
      </c>
      <c r="P621" s="35">
        <f t="shared" si="94"/>
        <v>4.7166527429681748E-3</v>
      </c>
    </row>
    <row r="622" spans="13:16" customFormat="1" x14ac:dyDescent="0.25">
      <c r="M622" t="s">
        <v>36</v>
      </c>
      <c r="N622" s="35">
        <f t="shared" si="91"/>
        <v>0.99329922027290463</v>
      </c>
      <c r="O622" s="35">
        <f t="shared" si="92"/>
        <v>0.99999999999999978</v>
      </c>
      <c r="P622" s="35">
        <f t="shared" si="94"/>
        <v>6.7007797270951519E-3</v>
      </c>
    </row>
    <row r="623" spans="13:16" customFormat="1" x14ac:dyDescent="0.25">
      <c r="M623" t="s">
        <v>37</v>
      </c>
      <c r="N623" s="35">
        <f t="shared" si="91"/>
        <v>0.99555311890838227</v>
      </c>
      <c r="O623" s="35">
        <f t="shared" si="92"/>
        <v>0.99999999999999978</v>
      </c>
      <c r="P623" s="35">
        <f t="shared" si="94"/>
        <v>4.446881091617505E-3</v>
      </c>
    </row>
    <row r="624" spans="13:16" customFormat="1" x14ac:dyDescent="0.25">
      <c r="M624" t="s">
        <v>38</v>
      </c>
      <c r="N624" s="35">
        <f t="shared" si="91"/>
        <v>1.0000000000000002</v>
      </c>
      <c r="O624" s="35">
        <f t="shared" si="92"/>
        <v>0.99999999999999978</v>
      </c>
      <c r="P624" s="35">
        <f t="shared" si="94"/>
        <v>4.4408920985006262E-16</v>
      </c>
    </row>
    <row r="625" spans="13:16" customFormat="1" x14ac:dyDescent="0.25">
      <c r="M625" t="s">
        <v>15</v>
      </c>
      <c r="N625" s="35"/>
      <c r="O625" s="35"/>
      <c r="P625" s="35">
        <f>MAX(P610:P624)</f>
        <v>5.9794131707433695E-2</v>
      </c>
    </row>
    <row r="626" spans="13:16" customFormat="1" x14ac:dyDescent="0.25">
      <c r="M626" t="s">
        <v>163</v>
      </c>
      <c r="N626" s="35"/>
      <c r="O626" s="35"/>
    </row>
    <row r="627" spans="13:16" customFormat="1" x14ac:dyDescent="0.25">
      <c r="M627" t="s">
        <v>40</v>
      </c>
      <c r="N627" s="35">
        <f t="shared" si="91"/>
        <v>1.1928556169724158E-2</v>
      </c>
      <c r="O627" s="35">
        <f t="shared" si="92"/>
        <v>2.2727272727272726E-3</v>
      </c>
      <c r="P627" s="35">
        <f>ABS(N627-O627)</f>
        <v>9.6558288969968847E-3</v>
      </c>
    </row>
    <row r="628" spans="13:16" customFormat="1" x14ac:dyDescent="0.25">
      <c r="M628" t="s">
        <v>41</v>
      </c>
      <c r="N628" s="35">
        <f t="shared" si="91"/>
        <v>1.8130991481748512E-2</v>
      </c>
      <c r="O628" s="35">
        <f t="shared" si="92"/>
        <v>2.2727272727272726E-3</v>
      </c>
      <c r="P628" s="35">
        <f t="shared" ref="P628:P641" si="95">ABS(N628-O628)</f>
        <v>1.5858264209021238E-2</v>
      </c>
    </row>
    <row r="629" spans="13:16" customFormat="1" x14ac:dyDescent="0.25">
      <c r="M629" t="s">
        <v>42</v>
      </c>
      <c r="N629" s="35">
        <f t="shared" si="91"/>
        <v>3.5047331036876822E-2</v>
      </c>
      <c r="O629" s="35">
        <f t="shared" si="92"/>
        <v>1.93001443001443E-2</v>
      </c>
      <c r="P629" s="35">
        <f t="shared" si="95"/>
        <v>1.5747186736732522E-2</v>
      </c>
    </row>
    <row r="630" spans="13:16" customFormat="1" x14ac:dyDescent="0.25">
      <c r="M630" t="s">
        <v>43</v>
      </c>
      <c r="N630" s="35">
        <f t="shared" si="91"/>
        <v>5.4723090069160728E-2</v>
      </c>
      <c r="O630" s="35">
        <f t="shared" si="92"/>
        <v>3.6904761904761899E-2</v>
      </c>
      <c r="P630" s="35">
        <f t="shared" si="95"/>
        <v>1.7818328164398829E-2</v>
      </c>
    </row>
    <row r="631" spans="13:16" customFormat="1" x14ac:dyDescent="0.25">
      <c r="M631" t="s">
        <v>44</v>
      </c>
      <c r="N631" s="35">
        <f t="shared" si="91"/>
        <v>0.11617866965740072</v>
      </c>
      <c r="O631" s="35">
        <f t="shared" si="92"/>
        <v>0.11637806637806639</v>
      </c>
      <c r="P631" s="35">
        <f t="shared" si="95"/>
        <v>1.9939672066567049E-4</v>
      </c>
    </row>
    <row r="632" spans="13:16" customFormat="1" x14ac:dyDescent="0.25">
      <c r="M632" t="s">
        <v>45</v>
      </c>
      <c r="N632" s="35">
        <f t="shared" si="91"/>
        <v>0.19374415872252929</v>
      </c>
      <c r="O632" s="35">
        <f t="shared" si="92"/>
        <v>0.218001443001443</v>
      </c>
      <c r="P632" s="35">
        <f t="shared" si="95"/>
        <v>2.4257284278913716E-2</v>
      </c>
    </row>
    <row r="633" spans="13:16" customFormat="1" x14ac:dyDescent="0.25">
      <c r="M633" t="s">
        <v>46</v>
      </c>
      <c r="N633" s="35">
        <f t="shared" si="91"/>
        <v>0.34430258484872761</v>
      </c>
      <c r="O633" s="35">
        <f t="shared" si="92"/>
        <v>0.3893939393939394</v>
      </c>
      <c r="P633" s="35">
        <f t="shared" si="95"/>
        <v>4.5091354545211793E-2</v>
      </c>
    </row>
    <row r="634" spans="13:16" customFormat="1" x14ac:dyDescent="0.25">
      <c r="M634" t="s">
        <v>47</v>
      </c>
      <c r="N634" s="35">
        <f t="shared" si="91"/>
        <v>0.5207749205586264</v>
      </c>
      <c r="O634" s="35">
        <f t="shared" si="92"/>
        <v>0.62261904761904763</v>
      </c>
      <c r="P634" s="35">
        <f t="shared" si="95"/>
        <v>0.10184412706042123</v>
      </c>
    </row>
    <row r="635" spans="13:16" customFormat="1" x14ac:dyDescent="0.25">
      <c r="M635" t="s">
        <v>48</v>
      </c>
      <c r="N635" s="35">
        <f t="shared" si="91"/>
        <v>0.73908882747202875</v>
      </c>
      <c r="O635" s="35">
        <f t="shared" si="92"/>
        <v>0.80108225108225106</v>
      </c>
      <c r="P635" s="35">
        <f t="shared" si="95"/>
        <v>6.1993423610222309E-2</v>
      </c>
    </row>
    <row r="636" spans="13:16" customFormat="1" x14ac:dyDescent="0.25">
      <c r="M636" t="s">
        <v>49</v>
      </c>
      <c r="N636" s="35">
        <f t="shared" si="91"/>
        <v>0.84270908435472247</v>
      </c>
      <c r="O636" s="35">
        <f t="shared" si="92"/>
        <v>0.8924603174603174</v>
      </c>
      <c r="P636" s="35">
        <f t="shared" si="95"/>
        <v>4.9751233105594928E-2</v>
      </c>
    </row>
    <row r="637" spans="13:16" customFormat="1" x14ac:dyDescent="0.25">
      <c r="M637" t="s">
        <v>50</v>
      </c>
      <c r="N637" s="35">
        <f t="shared" si="91"/>
        <v>0.93309734572351732</v>
      </c>
      <c r="O637" s="35">
        <f t="shared" si="92"/>
        <v>0.95404040404040391</v>
      </c>
      <c r="P637" s="35">
        <f t="shared" si="95"/>
        <v>2.0943058316886587E-2</v>
      </c>
    </row>
    <row r="638" spans="13:16" customFormat="1" x14ac:dyDescent="0.25">
      <c r="M638" t="s">
        <v>51</v>
      </c>
      <c r="N638" s="35">
        <f t="shared" si="91"/>
        <v>0.96907794600656894</v>
      </c>
      <c r="O638" s="35">
        <f t="shared" si="92"/>
        <v>0.97958152958152933</v>
      </c>
      <c r="P638" s="35">
        <f t="shared" si="95"/>
        <v>1.0503583574960396E-2</v>
      </c>
    </row>
    <row r="639" spans="13:16" customFormat="1" x14ac:dyDescent="0.25">
      <c r="M639" t="s">
        <v>52</v>
      </c>
      <c r="N639" s="35">
        <f t="shared" si="91"/>
        <v>0.99151445966514462</v>
      </c>
      <c r="O639" s="35">
        <f t="shared" si="92"/>
        <v>0.99375901875901862</v>
      </c>
      <c r="P639" s="35">
        <f t="shared" si="95"/>
        <v>2.244559093873999E-3</v>
      </c>
    </row>
    <row r="640" spans="13:16" customFormat="1" x14ac:dyDescent="0.25">
      <c r="M640" t="s">
        <v>53</v>
      </c>
      <c r="N640" s="35">
        <f t="shared" si="91"/>
        <v>0.99450786402841196</v>
      </c>
      <c r="O640" s="35">
        <f t="shared" si="92"/>
        <v>0.9980158730158728</v>
      </c>
      <c r="P640" s="35">
        <f t="shared" si="95"/>
        <v>3.5080089874608422E-3</v>
      </c>
    </row>
    <row r="641" spans="13:23" customFormat="1" x14ac:dyDescent="0.25">
      <c r="M641" t="s">
        <v>54</v>
      </c>
      <c r="N641" s="35">
        <f t="shared" si="91"/>
        <v>1</v>
      </c>
      <c r="O641" s="35">
        <f t="shared" si="92"/>
        <v>0.99999999999999978</v>
      </c>
      <c r="P641" s="35">
        <f t="shared" si="95"/>
        <v>2.2204460492503131E-16</v>
      </c>
    </row>
    <row r="642" spans="13:23" customFormat="1" x14ac:dyDescent="0.25">
      <c r="M642" t="s">
        <v>15</v>
      </c>
      <c r="P642" s="35">
        <f>MAX(P627:P641)</f>
        <v>0.10184412706042123</v>
      </c>
    </row>
    <row r="644" spans="13:23" customFormat="1" x14ac:dyDescent="0.25">
      <c r="M644" s="37" t="s">
        <v>234</v>
      </c>
      <c r="T644" t="s">
        <v>153</v>
      </c>
    </row>
    <row r="645" spans="13:23" customFormat="1" x14ac:dyDescent="0.25">
      <c r="M645" t="s">
        <v>160</v>
      </c>
      <c r="N645" t="s">
        <v>233</v>
      </c>
      <c r="O645" t="s">
        <v>14</v>
      </c>
      <c r="P645" t="s">
        <v>39</v>
      </c>
      <c r="T645" t="s">
        <v>145</v>
      </c>
      <c r="U645" t="s">
        <v>146</v>
      </c>
      <c r="V645" t="s">
        <v>150</v>
      </c>
    </row>
    <row r="646" spans="13:23" customFormat="1" x14ac:dyDescent="0.25">
      <c r="M646" t="s">
        <v>6</v>
      </c>
      <c r="N646" s="35">
        <f>+(N30+N198+O422+O30)/4</f>
        <v>1.1775836566301597E-2</v>
      </c>
      <c r="O646" s="35">
        <f>N142</f>
        <v>9.0909090909090905E-3</v>
      </c>
      <c r="P646" s="35">
        <f t="shared" ref="P646:P653" si="96">ABS(N646-O646)</f>
        <v>2.6849274753925068E-3</v>
      </c>
      <c r="T646">
        <v>0.1</v>
      </c>
      <c r="U646">
        <v>1.22</v>
      </c>
      <c r="V646">
        <f>SQRT((T651+T652)/(T651*T652))</f>
        <v>0.13328042162070469</v>
      </c>
      <c r="W646">
        <f>PRODUCT(V646, U646)</f>
        <v>0.16260211437725972</v>
      </c>
    </row>
    <row r="647" spans="13:23" customFormat="1" x14ac:dyDescent="0.25">
      <c r="M647" t="s">
        <v>7</v>
      </c>
      <c r="N647" s="35">
        <f t="shared" ref="N647:N697" si="97">+(N31+N199+O423+O31)/4</f>
        <v>5.9282967272465341E-2</v>
      </c>
      <c r="O647" s="35">
        <f t="shared" ref="O647:O697" si="98">N143</f>
        <v>6.8181818181818191E-2</v>
      </c>
      <c r="P647" s="35">
        <f t="shared" si="96"/>
        <v>8.8988509093528498E-3</v>
      </c>
      <c r="T647">
        <v>0.05</v>
      </c>
      <c r="U647">
        <v>1.36</v>
      </c>
      <c r="W647">
        <f>V646*U647</f>
        <v>0.1812613734041584</v>
      </c>
    </row>
    <row r="648" spans="13:23" customFormat="1" x14ac:dyDescent="0.25">
      <c r="M648" t="s">
        <v>8</v>
      </c>
      <c r="N648" s="35">
        <f t="shared" si="97"/>
        <v>0.29443882966548796</v>
      </c>
      <c r="O648" s="35">
        <f t="shared" si="98"/>
        <v>0.30909090909090908</v>
      </c>
      <c r="P648" s="35">
        <f t="shared" si="96"/>
        <v>1.4652079425421127E-2</v>
      </c>
      <c r="T648">
        <v>0.01</v>
      </c>
      <c r="U648">
        <v>1.63</v>
      </c>
      <c r="W648">
        <f>V646*U648</f>
        <v>0.21724708724174863</v>
      </c>
    </row>
    <row r="649" spans="13:23" customFormat="1" x14ac:dyDescent="0.25">
      <c r="M649" t="s">
        <v>9</v>
      </c>
      <c r="N649" s="35">
        <f t="shared" si="97"/>
        <v>0.70605738089516012</v>
      </c>
      <c r="O649" s="35">
        <f t="shared" si="98"/>
        <v>0.61818181818181817</v>
      </c>
      <c r="P649" s="35">
        <f t="shared" si="96"/>
        <v>8.7875562713341959E-2</v>
      </c>
      <c r="R649" t="s">
        <v>216</v>
      </c>
      <c r="V649" s="35">
        <f>MAX(P654, P664, P681, P698)</f>
        <v>0.15654428171664114</v>
      </c>
    </row>
    <row r="650" spans="13:23" customFormat="1" x14ac:dyDescent="0.25">
      <c r="M650" t="s">
        <v>10</v>
      </c>
      <c r="N650" s="35">
        <f t="shared" si="97"/>
        <v>0.87693155548689061</v>
      </c>
      <c r="O650" s="35">
        <f t="shared" si="98"/>
        <v>0.78181818181818175</v>
      </c>
      <c r="P650" s="35">
        <f t="shared" si="96"/>
        <v>9.5113373668708867E-2</v>
      </c>
      <c r="T650" t="s">
        <v>147</v>
      </c>
    </row>
    <row r="651" spans="13:23" customFormat="1" x14ac:dyDescent="0.25">
      <c r="M651" t="s">
        <v>11</v>
      </c>
      <c r="N651" s="35">
        <f t="shared" si="97"/>
        <v>0.95544181157803187</v>
      </c>
      <c r="O651" s="35">
        <f t="shared" si="98"/>
        <v>0.96818181818181814</v>
      </c>
      <c r="P651" s="35">
        <f t="shared" si="96"/>
        <v>1.2740006603786269E-2</v>
      </c>
      <c r="S651" t="s">
        <v>235</v>
      </c>
      <c r="T651">
        <f>76+80+90</f>
        <v>246</v>
      </c>
    </row>
    <row r="652" spans="13:23" customFormat="1" x14ac:dyDescent="0.25">
      <c r="M652" t="s">
        <v>12</v>
      </c>
      <c r="N652" s="35">
        <f t="shared" si="97"/>
        <v>0.98282655482885295</v>
      </c>
      <c r="O652" s="35">
        <f t="shared" si="98"/>
        <v>0.99545454545454537</v>
      </c>
      <c r="P652" s="35">
        <f t="shared" si="96"/>
        <v>1.262799062569242E-2</v>
      </c>
      <c r="S652" t="s">
        <v>149</v>
      </c>
      <c r="T652">
        <v>73</v>
      </c>
    </row>
    <row r="653" spans="13:23" customFormat="1" x14ac:dyDescent="0.25">
      <c r="M653" t="s">
        <v>22</v>
      </c>
      <c r="N653" s="35">
        <f t="shared" si="97"/>
        <v>1</v>
      </c>
      <c r="O653" s="35">
        <f t="shared" si="98"/>
        <v>0.99999999999999989</v>
      </c>
      <c r="P653" s="35">
        <f t="shared" si="96"/>
        <v>1.1102230246251565E-16</v>
      </c>
    </row>
    <row r="654" spans="13:23" customFormat="1" x14ac:dyDescent="0.25">
      <c r="M654" t="s">
        <v>15</v>
      </c>
      <c r="N654" s="35"/>
      <c r="O654" s="35"/>
      <c r="P654" s="35">
        <f>MAX(P646:P653)</f>
        <v>9.5113373668708867E-2</v>
      </c>
    </row>
    <row r="655" spans="13:23" customFormat="1" x14ac:dyDescent="0.25">
      <c r="M655" t="s">
        <v>161</v>
      </c>
      <c r="N655" s="35"/>
      <c r="O655" s="35"/>
    </row>
    <row r="656" spans="13:23" customFormat="1" x14ac:dyDescent="0.25">
      <c r="M656" t="s">
        <v>93</v>
      </c>
      <c r="N656" s="35">
        <f t="shared" si="97"/>
        <v>4.9509386336846685E-2</v>
      </c>
      <c r="O656" s="35">
        <f t="shared" si="98"/>
        <v>9.5454545454545459E-2</v>
      </c>
      <c r="P656" s="35">
        <f>ABS(N656-O656)</f>
        <v>4.5945159117698774E-2</v>
      </c>
    </row>
    <row r="657" spans="13:16" customFormat="1" x14ac:dyDescent="0.25">
      <c r="M657" t="s">
        <v>16</v>
      </c>
      <c r="N657" s="35">
        <f t="shared" si="97"/>
        <v>0.101084260308305</v>
      </c>
      <c r="O657" s="35">
        <f t="shared" si="98"/>
        <v>0.16363636363636364</v>
      </c>
      <c r="P657" s="35">
        <f t="shared" ref="P657:P663" si="99">ABS(N657-O657)</f>
        <v>6.2552103328058634E-2</v>
      </c>
    </row>
    <row r="658" spans="13:16" customFormat="1" x14ac:dyDescent="0.25">
      <c r="M658" t="s">
        <v>17</v>
      </c>
      <c r="N658" s="35">
        <f t="shared" si="97"/>
        <v>0.26618299101063159</v>
      </c>
      <c r="O658" s="35">
        <f t="shared" si="98"/>
        <v>0.42272727272727273</v>
      </c>
      <c r="P658" s="35">
        <f t="shared" si="99"/>
        <v>0.15654428171664114</v>
      </c>
    </row>
    <row r="659" spans="13:16" customFormat="1" x14ac:dyDescent="0.25">
      <c r="M659" t="s">
        <v>18</v>
      </c>
      <c r="N659" s="35">
        <f t="shared" si="97"/>
        <v>0.49257213023998347</v>
      </c>
      <c r="O659" s="35">
        <f t="shared" si="98"/>
        <v>0.56363636363636371</v>
      </c>
      <c r="P659" s="35">
        <f t="shared" si="99"/>
        <v>7.1064233396380239E-2</v>
      </c>
    </row>
    <row r="660" spans="13:16" customFormat="1" x14ac:dyDescent="0.25">
      <c r="M660" t="s">
        <v>19</v>
      </c>
      <c r="N660" s="35">
        <f t="shared" si="97"/>
        <v>0.79996607886725946</v>
      </c>
      <c r="O660" s="35">
        <f t="shared" si="98"/>
        <v>0.81818181818181823</v>
      </c>
      <c r="P660" s="35">
        <f t="shared" si="99"/>
        <v>1.8215739314558776E-2</v>
      </c>
    </row>
    <row r="661" spans="13:16" customFormat="1" x14ac:dyDescent="0.25">
      <c r="M661" t="s">
        <v>20</v>
      </c>
      <c r="N661" s="35">
        <f t="shared" si="97"/>
        <v>0.91988908486970844</v>
      </c>
      <c r="O661" s="35">
        <f t="shared" si="98"/>
        <v>0.95000000000000007</v>
      </c>
      <c r="P661" s="35">
        <f t="shared" si="99"/>
        <v>3.0110915130291627E-2</v>
      </c>
    </row>
    <row r="662" spans="13:16" customFormat="1" x14ac:dyDescent="0.25">
      <c r="M662" t="s">
        <v>21</v>
      </c>
      <c r="N662" s="35">
        <f t="shared" si="97"/>
        <v>0.98366197671690636</v>
      </c>
      <c r="O662" s="35">
        <f t="shared" si="98"/>
        <v>0.99090909090909096</v>
      </c>
      <c r="P662" s="35">
        <f t="shared" si="99"/>
        <v>7.2471141921846005E-3</v>
      </c>
    </row>
    <row r="663" spans="13:16" customFormat="1" x14ac:dyDescent="0.25">
      <c r="M663" t="s">
        <v>23</v>
      </c>
      <c r="N663" s="35">
        <f t="shared" si="97"/>
        <v>1</v>
      </c>
      <c r="O663" s="35">
        <f t="shared" si="98"/>
        <v>1</v>
      </c>
      <c r="P663" s="35">
        <f t="shared" si="99"/>
        <v>0</v>
      </c>
    </row>
    <row r="664" spans="13:16" customFormat="1" x14ac:dyDescent="0.25">
      <c r="M664" t="s">
        <v>15</v>
      </c>
      <c r="N664" s="35"/>
      <c r="O664" s="35"/>
      <c r="P664" s="35">
        <f>MAX(P656:P663)</f>
        <v>0.15654428171664114</v>
      </c>
    </row>
    <row r="665" spans="13:16" customFormat="1" x14ac:dyDescent="0.25">
      <c r="M665" t="s">
        <v>162</v>
      </c>
      <c r="N665" s="35"/>
      <c r="O665" s="35"/>
    </row>
    <row r="666" spans="13:16" customFormat="1" x14ac:dyDescent="0.25">
      <c r="M666" t="s">
        <v>24</v>
      </c>
      <c r="N666" s="35">
        <f t="shared" si="97"/>
        <v>1.6785328046142753E-3</v>
      </c>
      <c r="O666" s="35">
        <f t="shared" si="98"/>
        <v>0</v>
      </c>
      <c r="P666" s="35">
        <f>ABS(N666-O666)</f>
        <v>1.6785328046142753E-3</v>
      </c>
    </row>
    <row r="667" spans="13:16" customFormat="1" x14ac:dyDescent="0.25">
      <c r="M667" t="s">
        <v>25</v>
      </c>
      <c r="N667" s="35">
        <f t="shared" si="97"/>
        <v>8.5742502660761492E-3</v>
      </c>
      <c r="O667" s="35">
        <f t="shared" si="98"/>
        <v>1.3636363636363636E-2</v>
      </c>
      <c r="P667" s="35">
        <f t="shared" ref="P667:P680" si="100">ABS(N667-O667)</f>
        <v>5.0621133702874865E-3</v>
      </c>
    </row>
    <row r="668" spans="13:16" customFormat="1" x14ac:dyDescent="0.25">
      <c r="M668" t="s">
        <v>26</v>
      </c>
      <c r="N668" s="35">
        <f t="shared" si="97"/>
        <v>1.7115866864650209E-2</v>
      </c>
      <c r="O668" s="35">
        <f t="shared" si="98"/>
        <v>5.4545454545454543E-2</v>
      </c>
      <c r="P668" s="35">
        <f t="shared" si="100"/>
        <v>3.742958768080433E-2</v>
      </c>
    </row>
    <row r="669" spans="13:16" customFormat="1" x14ac:dyDescent="0.25">
      <c r="M669" t="s">
        <v>27</v>
      </c>
      <c r="N669" s="35">
        <f t="shared" si="97"/>
        <v>4.6852558765635544E-2</v>
      </c>
      <c r="O669" s="35">
        <f t="shared" si="98"/>
        <v>8.6363636363636365E-2</v>
      </c>
      <c r="P669" s="35">
        <f t="shared" si="100"/>
        <v>3.9511077598000821E-2</v>
      </c>
    </row>
    <row r="670" spans="13:16" customFormat="1" x14ac:dyDescent="0.25">
      <c r="M670" t="s">
        <v>28</v>
      </c>
      <c r="N670" s="35">
        <f t="shared" si="97"/>
        <v>0.11155966757647542</v>
      </c>
      <c r="O670" s="35">
        <f t="shared" si="98"/>
        <v>0.19545454545454546</v>
      </c>
      <c r="P670" s="35">
        <f t="shared" si="100"/>
        <v>8.389487787807004E-2</v>
      </c>
    </row>
    <row r="671" spans="13:16" customFormat="1" x14ac:dyDescent="0.25">
      <c r="M671" t="s">
        <v>29</v>
      </c>
      <c r="N671" s="35">
        <f t="shared" si="97"/>
        <v>0.22192825099277874</v>
      </c>
      <c r="O671" s="35">
        <f t="shared" si="98"/>
        <v>0.3454545454545454</v>
      </c>
      <c r="P671" s="35">
        <f t="shared" si="100"/>
        <v>0.12352629446176666</v>
      </c>
    </row>
    <row r="672" spans="13:16" customFormat="1" x14ac:dyDescent="0.25">
      <c r="M672" t="s">
        <v>30</v>
      </c>
      <c r="N672" s="35">
        <f t="shared" si="97"/>
        <v>0.43732431463933807</v>
      </c>
      <c r="O672" s="35">
        <f t="shared" si="98"/>
        <v>0.53181818181818175</v>
      </c>
      <c r="P672" s="35">
        <f t="shared" si="100"/>
        <v>9.4493867178843671E-2</v>
      </c>
    </row>
    <row r="673" spans="13:16" customFormat="1" x14ac:dyDescent="0.25">
      <c r="M673" t="s">
        <v>31</v>
      </c>
      <c r="N673" s="35">
        <f t="shared" si="97"/>
        <v>0.79704675143909998</v>
      </c>
      <c r="O673" s="35">
        <f t="shared" si="98"/>
        <v>0.75909090909090904</v>
      </c>
      <c r="P673" s="35">
        <f t="shared" si="100"/>
        <v>3.7955842348190938E-2</v>
      </c>
    </row>
    <row r="674" spans="13:16" customFormat="1" x14ac:dyDescent="0.25">
      <c r="M674" t="s">
        <v>32</v>
      </c>
      <c r="N674" s="35">
        <f t="shared" si="97"/>
        <v>0.92174920391732751</v>
      </c>
      <c r="O674" s="35">
        <f t="shared" si="98"/>
        <v>0.86363636363636354</v>
      </c>
      <c r="P674" s="35">
        <f t="shared" si="100"/>
        <v>5.8112840280963973E-2</v>
      </c>
    </row>
    <row r="675" spans="13:16" customFormat="1" x14ac:dyDescent="0.25">
      <c r="M675" t="s">
        <v>33</v>
      </c>
      <c r="N675" s="35">
        <f t="shared" si="97"/>
        <v>0.96960455505201359</v>
      </c>
      <c r="O675" s="35">
        <f t="shared" si="98"/>
        <v>0.92727272727272714</v>
      </c>
      <c r="P675" s="35">
        <f t="shared" si="100"/>
        <v>4.2331827779286457E-2</v>
      </c>
    </row>
    <row r="676" spans="13:16" customFormat="1" x14ac:dyDescent="0.25">
      <c r="M676" t="s">
        <v>34</v>
      </c>
      <c r="N676" s="35">
        <f t="shared" si="97"/>
        <v>0.98695073514265119</v>
      </c>
      <c r="O676" s="35">
        <f t="shared" si="98"/>
        <v>0.97727272727272707</v>
      </c>
      <c r="P676" s="35">
        <f t="shared" si="100"/>
        <v>9.6780078699241212E-3</v>
      </c>
    </row>
    <row r="677" spans="13:16" customFormat="1" x14ac:dyDescent="0.25">
      <c r="M677" t="s">
        <v>35</v>
      </c>
      <c r="N677" s="35">
        <f t="shared" si="97"/>
        <v>0.99398235171261495</v>
      </c>
      <c r="O677" s="35">
        <f t="shared" si="98"/>
        <v>0.99999999999999967</v>
      </c>
      <c r="P677" s="35">
        <f t="shared" si="100"/>
        <v>6.0176482873847137E-3</v>
      </c>
    </row>
    <row r="678" spans="13:16" customFormat="1" x14ac:dyDescent="0.25">
      <c r="M678" t="s">
        <v>36</v>
      </c>
      <c r="N678" s="35">
        <f t="shared" si="97"/>
        <v>0.99497441520467844</v>
      </c>
      <c r="O678" s="35">
        <f t="shared" si="98"/>
        <v>0.99999999999999967</v>
      </c>
      <c r="P678" s="35">
        <f t="shared" si="100"/>
        <v>5.0255847953212252E-3</v>
      </c>
    </row>
    <row r="679" spans="13:16" customFormat="1" x14ac:dyDescent="0.25">
      <c r="M679" t="s">
        <v>37</v>
      </c>
      <c r="N679" s="35">
        <f t="shared" si="97"/>
        <v>0.99666483918128668</v>
      </c>
      <c r="O679" s="35">
        <f t="shared" si="98"/>
        <v>0.99999999999999967</v>
      </c>
      <c r="P679" s="35">
        <f t="shared" si="100"/>
        <v>3.33516081871299E-3</v>
      </c>
    </row>
    <row r="680" spans="13:16" customFormat="1" x14ac:dyDescent="0.25">
      <c r="M680" t="s">
        <v>38</v>
      </c>
      <c r="N680" s="35">
        <f t="shared" si="97"/>
        <v>1</v>
      </c>
      <c r="O680" s="35">
        <f t="shared" si="98"/>
        <v>0.99999999999999967</v>
      </c>
      <c r="P680" s="35">
        <f t="shared" si="100"/>
        <v>3.3306690738754696E-16</v>
      </c>
    </row>
    <row r="681" spans="13:16" customFormat="1" x14ac:dyDescent="0.25">
      <c r="M681" t="s">
        <v>15</v>
      </c>
      <c r="N681" s="35"/>
      <c r="O681" s="35"/>
      <c r="P681" s="35">
        <f>MAX(P666:P680)</f>
        <v>0.12352629446176666</v>
      </c>
    </row>
    <row r="682" spans="13:16" customFormat="1" x14ac:dyDescent="0.25">
      <c r="M682" t="s">
        <v>163</v>
      </c>
      <c r="N682" s="35"/>
      <c r="O682" s="35"/>
    </row>
    <row r="683" spans="13:16" customFormat="1" x14ac:dyDescent="0.25">
      <c r="M683" t="s">
        <v>40</v>
      </c>
      <c r="N683" s="35">
        <f t="shared" si="97"/>
        <v>8.9464171272931187E-3</v>
      </c>
      <c r="O683" s="35">
        <f t="shared" si="98"/>
        <v>4.5454545454545452E-3</v>
      </c>
      <c r="P683" s="35">
        <f>ABS(N683-O683)</f>
        <v>4.4009625818385734E-3</v>
      </c>
    </row>
    <row r="684" spans="13:16" customFormat="1" x14ac:dyDescent="0.25">
      <c r="M684" t="s">
        <v>41</v>
      </c>
      <c r="N684" s="35">
        <f t="shared" si="97"/>
        <v>1.3598243611311383E-2</v>
      </c>
      <c r="O684" s="35">
        <f t="shared" si="98"/>
        <v>4.5454545454545452E-3</v>
      </c>
      <c r="P684" s="35">
        <f t="shared" ref="P684:P697" si="101">ABS(N684-O684)</f>
        <v>9.0527890658568377E-3</v>
      </c>
    </row>
    <row r="685" spans="13:16" customFormat="1" x14ac:dyDescent="0.25">
      <c r="M685" t="s">
        <v>42</v>
      </c>
      <c r="N685" s="35">
        <f t="shared" si="97"/>
        <v>3.0253752245911585E-2</v>
      </c>
      <c r="O685" s="35">
        <f t="shared" si="98"/>
        <v>2.2727272727272728E-2</v>
      </c>
      <c r="P685" s="35">
        <f t="shared" si="101"/>
        <v>7.5264795186388567E-3</v>
      </c>
    </row>
    <row r="686" spans="13:16" customFormat="1" x14ac:dyDescent="0.25">
      <c r="M686" t="s">
        <v>43</v>
      </c>
      <c r="N686" s="35">
        <f t="shared" si="97"/>
        <v>4.6994698504251496E-2</v>
      </c>
      <c r="O686" s="35">
        <f t="shared" si="98"/>
        <v>4.9999999999999996E-2</v>
      </c>
      <c r="P686" s="35">
        <f t="shared" si="101"/>
        <v>3.0053014957484997E-3</v>
      </c>
    </row>
    <row r="687" spans="13:16" customFormat="1" x14ac:dyDescent="0.25">
      <c r="M687" t="s">
        <v>44</v>
      </c>
      <c r="N687" s="35">
        <f t="shared" si="97"/>
        <v>0.10895939906844737</v>
      </c>
      <c r="O687" s="35">
        <f t="shared" si="98"/>
        <v>0.14545454545454548</v>
      </c>
      <c r="P687" s="35">
        <f t="shared" si="101"/>
        <v>3.6495146386098104E-2</v>
      </c>
    </row>
    <row r="688" spans="13:16" customFormat="1" x14ac:dyDescent="0.25">
      <c r="M688" t="s">
        <v>45</v>
      </c>
      <c r="N688" s="35">
        <f t="shared" si="97"/>
        <v>0.18499065872443665</v>
      </c>
      <c r="O688" s="35">
        <f t="shared" si="98"/>
        <v>0.27727272727272728</v>
      </c>
      <c r="P688" s="35">
        <f t="shared" si="101"/>
        <v>9.228206854829063E-2</v>
      </c>
    </row>
    <row r="689" spans="13:23" customFormat="1" x14ac:dyDescent="0.25">
      <c r="M689" t="s">
        <v>46</v>
      </c>
      <c r="N689" s="35">
        <f t="shared" si="97"/>
        <v>0.34156027196987904</v>
      </c>
      <c r="O689" s="35">
        <f t="shared" si="98"/>
        <v>0.44545454545454544</v>
      </c>
      <c r="P689" s="35">
        <f t="shared" si="101"/>
        <v>0.1038942734846664</v>
      </c>
    </row>
    <row r="690" spans="13:23" customFormat="1" x14ac:dyDescent="0.25">
      <c r="M690" t="s">
        <v>47</v>
      </c>
      <c r="N690" s="35">
        <f t="shared" si="97"/>
        <v>0.53939071422849361</v>
      </c>
      <c r="O690" s="35">
        <f t="shared" si="98"/>
        <v>0.65</v>
      </c>
      <c r="P690" s="35">
        <f t="shared" si="101"/>
        <v>0.11060928577150642</v>
      </c>
    </row>
    <row r="691" spans="13:23" customFormat="1" x14ac:dyDescent="0.25">
      <c r="M691" t="s">
        <v>48</v>
      </c>
      <c r="N691" s="35">
        <f t="shared" si="97"/>
        <v>0.7537213825087834</v>
      </c>
      <c r="O691" s="35">
        <f t="shared" si="98"/>
        <v>0.80454545454545445</v>
      </c>
      <c r="P691" s="35">
        <f t="shared" si="101"/>
        <v>5.0824072036671053E-2</v>
      </c>
    </row>
    <row r="692" spans="13:23" customFormat="1" x14ac:dyDescent="0.25">
      <c r="M692" t="s">
        <v>49</v>
      </c>
      <c r="N692" s="35">
        <f t="shared" si="97"/>
        <v>0.85326197199620057</v>
      </c>
      <c r="O692" s="35">
        <f t="shared" si="98"/>
        <v>0.8999999999999998</v>
      </c>
      <c r="P692" s="35">
        <f t="shared" si="101"/>
        <v>4.6738028003799226E-2</v>
      </c>
    </row>
    <row r="693" spans="13:23" customFormat="1" x14ac:dyDescent="0.25">
      <c r="M693" t="s">
        <v>50</v>
      </c>
      <c r="N693" s="35">
        <f t="shared" si="97"/>
        <v>0.93593412040374901</v>
      </c>
      <c r="O693" s="35">
        <f t="shared" si="98"/>
        <v>0.9636363636363634</v>
      </c>
      <c r="P693" s="35">
        <f t="shared" si="101"/>
        <v>2.7702243232614387E-2</v>
      </c>
    </row>
    <row r="694" spans="13:23" customFormat="1" x14ac:dyDescent="0.25">
      <c r="M694" t="s">
        <v>51</v>
      </c>
      <c r="N694" s="35">
        <f t="shared" si="97"/>
        <v>0.96887195156841877</v>
      </c>
      <c r="O694" s="35">
        <f t="shared" si="98"/>
        <v>0.99090909090909063</v>
      </c>
      <c r="P694" s="35">
        <f t="shared" si="101"/>
        <v>2.2037139340671863E-2</v>
      </c>
    </row>
    <row r="695" spans="13:23" customFormat="1" x14ac:dyDescent="0.25">
      <c r="M695" t="s">
        <v>52</v>
      </c>
      <c r="N695" s="35">
        <f t="shared" si="97"/>
        <v>0.99165171776473149</v>
      </c>
      <c r="O695" s="35">
        <f t="shared" si="98"/>
        <v>0.99545454545454515</v>
      </c>
      <c r="P695" s="35">
        <f t="shared" si="101"/>
        <v>3.8028276898136593E-3</v>
      </c>
    </row>
    <row r="696" spans="13:23" customFormat="1" x14ac:dyDescent="0.25">
      <c r="M696" t="s">
        <v>53</v>
      </c>
      <c r="N696" s="35">
        <f t="shared" si="97"/>
        <v>0.99488883452924548</v>
      </c>
      <c r="O696" s="35">
        <f t="shared" si="98"/>
        <v>0.99999999999999967</v>
      </c>
      <c r="P696" s="35">
        <f t="shared" si="101"/>
        <v>5.1111654707541865E-3</v>
      </c>
    </row>
    <row r="697" spans="13:23" customFormat="1" x14ac:dyDescent="0.25">
      <c r="M697" t="s">
        <v>54</v>
      </c>
      <c r="N697" s="35">
        <f t="shared" si="97"/>
        <v>1</v>
      </c>
      <c r="O697" s="35">
        <f t="shared" si="98"/>
        <v>0.99999999999999967</v>
      </c>
      <c r="P697" s="35">
        <f t="shared" si="101"/>
        <v>3.3306690738754696E-16</v>
      </c>
    </row>
    <row r="698" spans="13:23" customFormat="1" x14ac:dyDescent="0.25">
      <c r="M698" t="s">
        <v>15</v>
      </c>
      <c r="P698" s="35">
        <f>MAX(P683:P697)</f>
        <v>0.11060928577150642</v>
      </c>
    </row>
    <row r="700" spans="13:23" customFormat="1" x14ac:dyDescent="0.25">
      <c r="M700" s="37" t="s">
        <v>236</v>
      </c>
      <c r="T700" t="s">
        <v>153</v>
      </c>
    </row>
    <row r="701" spans="13:23" customFormat="1" x14ac:dyDescent="0.25">
      <c r="M701" t="s">
        <v>160</v>
      </c>
      <c r="N701" t="s">
        <v>224</v>
      </c>
      <c r="O701" t="s">
        <v>14</v>
      </c>
      <c r="P701" t="s">
        <v>39</v>
      </c>
      <c r="T701" t="s">
        <v>145</v>
      </c>
      <c r="U701" t="s">
        <v>146</v>
      </c>
      <c r="V701" t="s">
        <v>150</v>
      </c>
    </row>
    <row r="702" spans="13:23" customFormat="1" x14ac:dyDescent="0.25">
      <c r="M702" t="s">
        <v>6</v>
      </c>
      <c r="N702" s="35">
        <f>N534</f>
        <v>1.5701115421735464E-2</v>
      </c>
      <c r="O702" s="35">
        <f>N142</f>
        <v>9.0909090909090905E-3</v>
      </c>
      <c r="P702" s="35">
        <f t="shared" ref="P702:P709" si="102">ABS(N702-O702)</f>
        <v>6.6102063308263737E-3</v>
      </c>
      <c r="T702">
        <v>0.1</v>
      </c>
      <c r="U702">
        <v>1.22</v>
      </c>
      <c r="V702">
        <f>SQRT((T707+T708)/(T707*T708))</f>
        <v>0.13385828110239098</v>
      </c>
      <c r="W702">
        <f>PRODUCT(V702, U702)</f>
        <v>0.16330710294491699</v>
      </c>
    </row>
    <row r="703" spans="13:23" customFormat="1" x14ac:dyDescent="0.25">
      <c r="M703" t="s">
        <v>7</v>
      </c>
      <c r="N703" s="35">
        <f t="shared" ref="N703:N753" si="103">N535</f>
        <v>5.5895808215138974E-2</v>
      </c>
      <c r="O703" s="35">
        <f t="shared" ref="O703:O753" si="104">N143</f>
        <v>6.8181818181818191E-2</v>
      </c>
      <c r="P703" s="35">
        <f t="shared" si="102"/>
        <v>1.2286009966679216E-2</v>
      </c>
      <c r="T703">
        <v>0.05</v>
      </c>
      <c r="U703">
        <v>1.36</v>
      </c>
      <c r="W703">
        <f>V702*U703</f>
        <v>0.18204726229925175</v>
      </c>
    </row>
    <row r="704" spans="13:23" customFormat="1" x14ac:dyDescent="0.25">
      <c r="M704" t="s">
        <v>8</v>
      </c>
      <c r="N704" s="35">
        <f t="shared" si="103"/>
        <v>0.29767769881324319</v>
      </c>
      <c r="O704" s="35">
        <f t="shared" si="104"/>
        <v>0.30909090909090908</v>
      </c>
      <c r="P704" s="35">
        <f t="shared" si="102"/>
        <v>1.1413210277665897E-2</v>
      </c>
      <c r="T704">
        <v>0.01</v>
      </c>
      <c r="U704">
        <v>1.63</v>
      </c>
      <c r="W704">
        <f>V702*U704</f>
        <v>0.21818899819689727</v>
      </c>
    </row>
    <row r="705" spans="13:22" customFormat="1" x14ac:dyDescent="0.25">
      <c r="M705" t="s">
        <v>9</v>
      </c>
      <c r="N705" s="35">
        <f t="shared" si="103"/>
        <v>0.70298391526762105</v>
      </c>
      <c r="O705" s="35">
        <f t="shared" si="104"/>
        <v>0.61818181818181817</v>
      </c>
      <c r="P705" s="35">
        <f t="shared" si="102"/>
        <v>8.4802097085802886E-2</v>
      </c>
      <c r="R705" t="s">
        <v>216</v>
      </c>
      <c r="V705" s="35">
        <f>MAX(P710, P720, P737, P754)</f>
        <v>0.15693698841680098</v>
      </c>
    </row>
    <row r="706" spans="13:22" customFormat="1" x14ac:dyDescent="0.25">
      <c r="M706" t="s">
        <v>10</v>
      </c>
      <c r="N706" s="35">
        <f t="shared" si="103"/>
        <v>0.87757540731585415</v>
      </c>
      <c r="O706" s="35">
        <f t="shared" si="104"/>
        <v>0.78181818181818175</v>
      </c>
      <c r="P706" s="35">
        <f t="shared" si="102"/>
        <v>9.5757225497672405E-2</v>
      </c>
      <c r="T706" t="s">
        <v>147</v>
      </c>
    </row>
    <row r="707" spans="13:22" customFormat="1" x14ac:dyDescent="0.25">
      <c r="M707" t="s">
        <v>11</v>
      </c>
      <c r="N707" s="35">
        <f t="shared" si="103"/>
        <v>0.95795019321515351</v>
      </c>
      <c r="O707" s="35">
        <f t="shared" si="104"/>
        <v>0.96818181818181814</v>
      </c>
      <c r="P707" s="35">
        <f t="shared" si="102"/>
        <v>1.0231624966664632E-2</v>
      </c>
      <c r="S707" t="s">
        <v>226</v>
      </c>
      <c r="T707">
        <v>237</v>
      </c>
    </row>
    <row r="708" spans="13:22" customFormat="1" x14ac:dyDescent="0.25">
      <c r="M708" t="s">
        <v>12</v>
      </c>
      <c r="N708" s="35">
        <f t="shared" si="103"/>
        <v>0.98520392495698905</v>
      </c>
      <c r="O708" s="35">
        <f t="shared" si="104"/>
        <v>0.99545454545454537</v>
      </c>
      <c r="P708" s="35">
        <f t="shared" si="102"/>
        <v>1.0250620497556318E-2</v>
      </c>
      <c r="S708" t="s">
        <v>149</v>
      </c>
      <c r="T708">
        <v>73</v>
      </c>
    </row>
    <row r="709" spans="13:22" customFormat="1" x14ac:dyDescent="0.25">
      <c r="M709" t="s">
        <v>22</v>
      </c>
      <c r="N709" s="35">
        <f t="shared" si="103"/>
        <v>1</v>
      </c>
      <c r="O709" s="35">
        <f t="shared" si="104"/>
        <v>0.99999999999999989</v>
      </c>
      <c r="P709" s="35">
        <f t="shared" si="102"/>
        <v>1.1102230246251565E-16</v>
      </c>
    </row>
    <row r="710" spans="13:22" customFormat="1" x14ac:dyDescent="0.25">
      <c r="M710" t="s">
        <v>15</v>
      </c>
      <c r="N710" s="35"/>
      <c r="O710" s="35"/>
      <c r="P710" s="35">
        <f>MAX(P702:P709)</f>
        <v>9.5757225497672405E-2</v>
      </c>
    </row>
    <row r="711" spans="13:22" customFormat="1" x14ac:dyDescent="0.25">
      <c r="M711" t="s">
        <v>161</v>
      </c>
      <c r="N711" s="35"/>
      <c r="O711" s="35"/>
    </row>
    <row r="712" spans="13:22" customFormat="1" x14ac:dyDescent="0.25">
      <c r="M712" t="s">
        <v>93</v>
      </c>
      <c r="N712" s="35">
        <f t="shared" si="103"/>
        <v>5.0966218819499282E-2</v>
      </c>
      <c r="O712" s="35">
        <f t="shared" si="104"/>
        <v>9.5454545454545459E-2</v>
      </c>
      <c r="P712" s="35">
        <f>ABS(N712-O712)</f>
        <v>4.4488326635046177E-2</v>
      </c>
    </row>
    <row r="713" spans="13:22" customFormat="1" x14ac:dyDescent="0.25">
      <c r="M713" t="s">
        <v>16</v>
      </c>
      <c r="N713" s="35">
        <f t="shared" si="103"/>
        <v>0.1093160507814437</v>
      </c>
      <c r="O713" s="35">
        <f t="shared" si="104"/>
        <v>0.16363636363636364</v>
      </c>
      <c r="P713" s="35">
        <f t="shared" ref="P713:P719" si="105">ABS(N713-O713)</f>
        <v>5.4320312854919936E-2</v>
      </c>
    </row>
    <row r="714" spans="13:22" customFormat="1" x14ac:dyDescent="0.25">
      <c r="M714" t="s">
        <v>17</v>
      </c>
      <c r="N714" s="35">
        <f t="shared" si="103"/>
        <v>0.26579028431047175</v>
      </c>
      <c r="O714" s="35">
        <f t="shared" si="104"/>
        <v>0.42272727272727273</v>
      </c>
      <c r="P714" s="35">
        <f t="shared" si="105"/>
        <v>0.15693698841680098</v>
      </c>
    </row>
    <row r="715" spans="13:22" customFormat="1" x14ac:dyDescent="0.25">
      <c r="M715" t="s">
        <v>18</v>
      </c>
      <c r="N715" s="35">
        <f t="shared" si="103"/>
        <v>0.49125358106071876</v>
      </c>
      <c r="O715" s="35">
        <f t="shared" si="104"/>
        <v>0.56363636363636371</v>
      </c>
      <c r="P715" s="35">
        <f t="shared" si="105"/>
        <v>7.2382782575644955E-2</v>
      </c>
    </row>
    <row r="716" spans="13:22" customFormat="1" x14ac:dyDescent="0.25">
      <c r="M716" t="s">
        <v>19</v>
      </c>
      <c r="N716" s="35">
        <f t="shared" si="103"/>
        <v>0.79463069774893846</v>
      </c>
      <c r="O716" s="35">
        <f t="shared" si="104"/>
        <v>0.81818181818181823</v>
      </c>
      <c r="P716" s="35">
        <f t="shared" si="105"/>
        <v>2.3551120432879769E-2</v>
      </c>
    </row>
    <row r="717" spans="13:22" customFormat="1" x14ac:dyDescent="0.25">
      <c r="M717" t="s">
        <v>20</v>
      </c>
      <c r="N717" s="35">
        <f t="shared" si="103"/>
        <v>0.92096322427072241</v>
      </c>
      <c r="O717" s="35">
        <f t="shared" si="104"/>
        <v>0.95000000000000007</v>
      </c>
      <c r="P717" s="35">
        <f t="shared" si="105"/>
        <v>2.9036775729277653E-2</v>
      </c>
    </row>
    <row r="718" spans="13:22" customFormat="1" x14ac:dyDescent="0.25">
      <c r="M718" t="s">
        <v>21</v>
      </c>
      <c r="N718" s="35">
        <f t="shared" si="103"/>
        <v>0.98168819117809747</v>
      </c>
      <c r="O718" s="35">
        <f t="shared" si="104"/>
        <v>0.99090909090909096</v>
      </c>
      <c r="P718" s="35">
        <f t="shared" si="105"/>
        <v>9.2208997309934926E-3</v>
      </c>
    </row>
    <row r="719" spans="13:22" customFormat="1" x14ac:dyDescent="0.25">
      <c r="M719" t="s">
        <v>23</v>
      </c>
      <c r="N719" s="35">
        <f t="shared" si="103"/>
        <v>1</v>
      </c>
      <c r="O719" s="35">
        <f t="shared" si="104"/>
        <v>1</v>
      </c>
      <c r="P719" s="35">
        <f t="shared" si="105"/>
        <v>0</v>
      </c>
    </row>
    <row r="720" spans="13:22" customFormat="1" x14ac:dyDescent="0.25">
      <c r="M720" t="s">
        <v>15</v>
      </c>
      <c r="N720" s="35"/>
      <c r="O720" s="35"/>
      <c r="P720" s="35">
        <f>MAX(P712:P719)</f>
        <v>0.15693698841680098</v>
      </c>
    </row>
    <row r="721" spans="13:16" customFormat="1" x14ac:dyDescent="0.25">
      <c r="M721" t="s">
        <v>162</v>
      </c>
      <c r="N721" s="35"/>
      <c r="O721" s="35"/>
    </row>
    <row r="722" spans="13:16" customFormat="1" x14ac:dyDescent="0.25">
      <c r="M722" t="s">
        <v>24</v>
      </c>
      <c r="N722" s="35">
        <f t="shared" si="103"/>
        <v>2.2380437394857004E-3</v>
      </c>
      <c r="O722" s="35">
        <f t="shared" si="104"/>
        <v>0</v>
      </c>
      <c r="P722" s="35">
        <f>ABS(N722-O722)</f>
        <v>2.2380437394857004E-3</v>
      </c>
    </row>
    <row r="723" spans="13:16" customFormat="1" x14ac:dyDescent="0.25">
      <c r="M723" t="s">
        <v>25</v>
      </c>
      <c r="N723" s="35">
        <f t="shared" si="103"/>
        <v>1.0274926280694124E-2</v>
      </c>
      <c r="O723" s="35">
        <f t="shared" si="104"/>
        <v>1.3636363636363636E-2</v>
      </c>
      <c r="P723" s="35">
        <f t="shared" ref="P723:P736" si="106">ABS(N723-O723)</f>
        <v>3.3614373556695113E-3</v>
      </c>
    </row>
    <row r="724" spans="13:16" customFormat="1" x14ac:dyDescent="0.25">
      <c r="M724" t="s">
        <v>26</v>
      </c>
      <c r="N724" s="35">
        <f t="shared" si="103"/>
        <v>1.7034118782496575E-2</v>
      </c>
      <c r="O724" s="35">
        <f t="shared" si="104"/>
        <v>5.4545454545454543E-2</v>
      </c>
      <c r="P724" s="35">
        <f t="shared" si="106"/>
        <v>3.7511335762957967E-2</v>
      </c>
    </row>
    <row r="725" spans="13:16" customFormat="1" x14ac:dyDescent="0.25">
      <c r="M725" t="s">
        <v>27</v>
      </c>
      <c r="N725" s="35">
        <f t="shared" si="103"/>
        <v>5.205341168751406E-2</v>
      </c>
      <c r="O725" s="35">
        <f t="shared" si="104"/>
        <v>8.6363636363636365E-2</v>
      </c>
      <c r="P725" s="35">
        <f t="shared" si="106"/>
        <v>3.4310224676122304E-2</v>
      </c>
    </row>
    <row r="726" spans="13:16" customFormat="1" x14ac:dyDescent="0.25">
      <c r="M726" t="s">
        <v>28</v>
      </c>
      <c r="N726" s="35">
        <f t="shared" si="103"/>
        <v>0.12212585306493022</v>
      </c>
      <c r="O726" s="35">
        <f t="shared" si="104"/>
        <v>0.19545454545454546</v>
      </c>
      <c r="P726" s="35">
        <f t="shared" si="106"/>
        <v>7.3328692389615244E-2</v>
      </c>
    </row>
    <row r="727" spans="13:16" customFormat="1" x14ac:dyDescent="0.25">
      <c r="M727" t="s">
        <v>29</v>
      </c>
      <c r="N727" s="35">
        <f t="shared" si="103"/>
        <v>0.23571914947185313</v>
      </c>
      <c r="O727" s="35">
        <f t="shared" si="104"/>
        <v>0.3454545454545454</v>
      </c>
      <c r="P727" s="35">
        <f t="shared" si="106"/>
        <v>0.10973539598269227</v>
      </c>
    </row>
    <row r="728" spans="13:16" customFormat="1" x14ac:dyDescent="0.25">
      <c r="M728" t="s">
        <v>30</v>
      </c>
      <c r="N728" s="35">
        <f t="shared" si="103"/>
        <v>0.43379353063022857</v>
      </c>
      <c r="O728" s="35">
        <f t="shared" si="104"/>
        <v>0.53181818181818175</v>
      </c>
      <c r="P728" s="35">
        <f t="shared" si="106"/>
        <v>9.8024651187953171E-2</v>
      </c>
    </row>
    <row r="729" spans="13:16" customFormat="1" x14ac:dyDescent="0.25">
      <c r="M729" t="s">
        <v>31</v>
      </c>
      <c r="N729" s="35">
        <f t="shared" si="103"/>
        <v>0.78842344636324457</v>
      </c>
      <c r="O729" s="35">
        <f t="shared" si="104"/>
        <v>0.75909090909090904</v>
      </c>
      <c r="P729" s="35">
        <f t="shared" si="106"/>
        <v>2.9332537272335535E-2</v>
      </c>
    </row>
    <row r="730" spans="13:16" customFormat="1" x14ac:dyDescent="0.25">
      <c r="M730" t="s">
        <v>32</v>
      </c>
      <c r="N730" s="35">
        <f t="shared" si="103"/>
        <v>0.91302671633421451</v>
      </c>
      <c r="O730" s="35">
        <f t="shared" si="104"/>
        <v>0.86363636363636354</v>
      </c>
      <c r="P730" s="35">
        <f t="shared" si="106"/>
        <v>4.939035269785097E-2</v>
      </c>
    </row>
    <row r="731" spans="13:16" customFormat="1" x14ac:dyDescent="0.25">
      <c r="M731" t="s">
        <v>33</v>
      </c>
      <c r="N731" s="35">
        <f t="shared" si="103"/>
        <v>0.96873199932861087</v>
      </c>
      <c r="O731" s="35">
        <f t="shared" si="104"/>
        <v>0.92727272727272714</v>
      </c>
      <c r="P731" s="35">
        <f t="shared" si="106"/>
        <v>4.1459272055883734E-2</v>
      </c>
    </row>
    <row r="732" spans="13:16" customFormat="1" x14ac:dyDescent="0.25">
      <c r="M732" t="s">
        <v>34</v>
      </c>
      <c r="N732" s="35">
        <f t="shared" si="103"/>
        <v>0.98607320241242391</v>
      </c>
      <c r="O732" s="35">
        <f t="shared" si="104"/>
        <v>0.97727272727272707</v>
      </c>
      <c r="P732" s="35">
        <f t="shared" si="106"/>
        <v>8.8004751396968395E-3</v>
      </c>
    </row>
    <row r="733" spans="13:16" customFormat="1" x14ac:dyDescent="0.25">
      <c r="M733" t="s">
        <v>35</v>
      </c>
      <c r="N733" s="35">
        <f t="shared" si="103"/>
        <v>0.99429128376496811</v>
      </c>
      <c r="O733" s="35">
        <f t="shared" si="104"/>
        <v>0.99999999999999967</v>
      </c>
      <c r="P733" s="35">
        <f t="shared" si="106"/>
        <v>5.7087162350315523E-3</v>
      </c>
    </row>
    <row r="734" spans="13:16" customFormat="1" x14ac:dyDescent="0.25">
      <c r="M734" t="s">
        <v>36</v>
      </c>
      <c r="N734" s="35">
        <f t="shared" si="103"/>
        <v>0.99561403508771951</v>
      </c>
      <c r="O734" s="35">
        <f t="shared" si="104"/>
        <v>0.99999999999999967</v>
      </c>
      <c r="P734" s="35">
        <f t="shared" si="106"/>
        <v>4.3859649122801603E-3</v>
      </c>
    </row>
    <row r="735" spans="13:16" customFormat="1" x14ac:dyDescent="0.25">
      <c r="M735" t="s">
        <v>37</v>
      </c>
      <c r="N735" s="35">
        <f t="shared" si="103"/>
        <v>0.99671052631578949</v>
      </c>
      <c r="O735" s="35">
        <f t="shared" si="104"/>
        <v>0.99999999999999967</v>
      </c>
      <c r="P735" s="35">
        <f t="shared" si="106"/>
        <v>3.2894736842101757E-3</v>
      </c>
    </row>
    <row r="736" spans="13:16" customFormat="1" x14ac:dyDescent="0.25">
      <c r="M736" t="s">
        <v>38</v>
      </c>
      <c r="N736" s="35">
        <f t="shared" si="103"/>
        <v>1</v>
      </c>
      <c r="O736" s="35">
        <f t="shared" si="104"/>
        <v>0.99999999999999967</v>
      </c>
      <c r="P736" s="35">
        <f t="shared" si="106"/>
        <v>3.3306690738754696E-16</v>
      </c>
    </row>
    <row r="737" spans="13:16" customFormat="1" x14ac:dyDescent="0.25">
      <c r="M737" t="s">
        <v>15</v>
      </c>
      <c r="N737" s="35"/>
      <c r="O737" s="35"/>
      <c r="P737" s="35">
        <f>MAX(P722:P736)</f>
        <v>0.10973539598269227</v>
      </c>
    </row>
    <row r="738" spans="13:16" customFormat="1" x14ac:dyDescent="0.25">
      <c r="M738" t="s">
        <v>163</v>
      </c>
      <c r="N738" s="35"/>
      <c r="O738" s="35"/>
    </row>
    <row r="739" spans="13:16" customFormat="1" x14ac:dyDescent="0.25">
      <c r="M739" t="s">
        <v>40</v>
      </c>
      <c r="N739" s="35">
        <f t="shared" si="103"/>
        <v>4.5211487623167505E-3</v>
      </c>
      <c r="O739" s="35">
        <f t="shared" si="104"/>
        <v>4.5454545454545452E-3</v>
      </c>
      <c r="P739" s="35">
        <f>ABS(N739-O739)</f>
        <v>2.4305783137794704E-5</v>
      </c>
    </row>
    <row r="740" spans="13:16" customFormat="1" x14ac:dyDescent="0.25">
      <c r="M740" t="s">
        <v>41</v>
      </c>
      <c r="N740" s="35">
        <f t="shared" si="103"/>
        <v>7.9458062965633257E-3</v>
      </c>
      <c r="O740" s="35">
        <f t="shared" si="104"/>
        <v>4.5454545454545452E-3</v>
      </c>
      <c r="P740" s="35">
        <f t="shared" ref="P740:P753" si="107">ABS(N740-O740)</f>
        <v>3.4003517511087804E-3</v>
      </c>
    </row>
    <row r="741" spans="13:16" customFormat="1" x14ac:dyDescent="0.25">
      <c r="M741" t="s">
        <v>42</v>
      </c>
      <c r="N741" s="35">
        <f t="shared" si="103"/>
        <v>2.5523521513067294E-2</v>
      </c>
      <c r="O741" s="35">
        <f t="shared" si="104"/>
        <v>2.2727272727272728E-2</v>
      </c>
      <c r="P741" s="35">
        <f t="shared" si="107"/>
        <v>2.796248785794566E-3</v>
      </c>
    </row>
    <row r="742" spans="13:16" customFormat="1" x14ac:dyDescent="0.25">
      <c r="M742" t="s">
        <v>43</v>
      </c>
      <c r="N742" s="35">
        <f t="shared" si="103"/>
        <v>4.5067005413076067E-2</v>
      </c>
      <c r="O742" s="35">
        <f t="shared" si="104"/>
        <v>4.9999999999999996E-2</v>
      </c>
      <c r="P742" s="35">
        <f t="shared" si="107"/>
        <v>4.9329945869239292E-3</v>
      </c>
    </row>
    <row r="743" spans="13:16" customFormat="1" x14ac:dyDescent="0.25">
      <c r="M743" t="s">
        <v>44</v>
      </c>
      <c r="N743" s="35">
        <f t="shared" si="103"/>
        <v>0.10546438394311501</v>
      </c>
      <c r="O743" s="35">
        <f t="shared" si="104"/>
        <v>0.14545454545454548</v>
      </c>
      <c r="P743" s="35">
        <f t="shared" si="107"/>
        <v>3.9990161511430464E-2</v>
      </c>
    </row>
    <row r="744" spans="13:16" customFormat="1" x14ac:dyDescent="0.25">
      <c r="M744" t="s">
        <v>45</v>
      </c>
      <c r="N744" s="35">
        <f t="shared" si="103"/>
        <v>0.16517273015110073</v>
      </c>
      <c r="O744" s="35">
        <f t="shared" si="104"/>
        <v>0.27727272727272728</v>
      </c>
      <c r="P744" s="35">
        <f t="shared" si="107"/>
        <v>0.11209999712162655</v>
      </c>
    </row>
    <row r="745" spans="13:16" customFormat="1" x14ac:dyDescent="0.25">
      <c r="M745" t="s">
        <v>46</v>
      </c>
      <c r="N745" s="35">
        <f t="shared" si="103"/>
        <v>0.32856184410798689</v>
      </c>
      <c r="O745" s="35">
        <f t="shared" si="104"/>
        <v>0.44545454545454544</v>
      </c>
      <c r="P745" s="35">
        <f t="shared" si="107"/>
        <v>0.11689270134655855</v>
      </c>
    </row>
    <row r="746" spans="13:16" customFormat="1" x14ac:dyDescent="0.25">
      <c r="M746" t="s">
        <v>47</v>
      </c>
      <c r="N746" s="35">
        <f t="shared" si="103"/>
        <v>0.52937280415651011</v>
      </c>
      <c r="O746" s="35">
        <f t="shared" si="104"/>
        <v>0.65</v>
      </c>
      <c r="P746" s="35">
        <f t="shared" si="107"/>
        <v>0.12062719584348991</v>
      </c>
    </row>
    <row r="747" spans="13:16" customFormat="1" x14ac:dyDescent="0.25">
      <c r="M747" t="s">
        <v>48</v>
      </c>
      <c r="N747" s="35">
        <f t="shared" si="103"/>
        <v>0.75125813964134081</v>
      </c>
      <c r="O747" s="35">
        <f t="shared" si="104"/>
        <v>0.80454545454545445</v>
      </c>
      <c r="P747" s="35">
        <f t="shared" si="107"/>
        <v>5.3287314904113647E-2</v>
      </c>
    </row>
    <row r="748" spans="13:16" customFormat="1" x14ac:dyDescent="0.25">
      <c r="M748" t="s">
        <v>49</v>
      </c>
      <c r="N748" s="35">
        <f t="shared" si="103"/>
        <v>0.85434929599493403</v>
      </c>
      <c r="O748" s="35">
        <f t="shared" si="104"/>
        <v>0.8999999999999998</v>
      </c>
      <c r="P748" s="35">
        <f t="shared" si="107"/>
        <v>4.5650704005065768E-2</v>
      </c>
    </row>
    <row r="749" spans="13:16" customFormat="1" x14ac:dyDescent="0.25">
      <c r="M749" t="s">
        <v>50</v>
      </c>
      <c r="N749" s="35">
        <f t="shared" si="103"/>
        <v>0.93772697535314686</v>
      </c>
      <c r="O749" s="35">
        <f t="shared" si="104"/>
        <v>0.9636363636363634</v>
      </c>
      <c r="P749" s="35">
        <f t="shared" si="107"/>
        <v>2.5909388283216539E-2</v>
      </c>
    </row>
    <row r="750" spans="13:16" customFormat="1" x14ac:dyDescent="0.25">
      <c r="M750" t="s">
        <v>51</v>
      </c>
      <c r="N750" s="35">
        <f t="shared" si="103"/>
        <v>0.9723848243134473</v>
      </c>
      <c r="O750" s="35">
        <f t="shared" si="104"/>
        <v>0.99090909090909063</v>
      </c>
      <c r="P750" s="35">
        <f t="shared" si="107"/>
        <v>1.8524266595643324E-2</v>
      </c>
    </row>
    <row r="751" spans="13:16" customFormat="1" x14ac:dyDescent="0.25">
      <c r="M751" t="s">
        <v>52</v>
      </c>
      <c r="N751" s="35">
        <f t="shared" si="103"/>
        <v>0.99164673479741972</v>
      </c>
      <c r="O751" s="35">
        <f t="shared" si="104"/>
        <v>0.99545454545454515</v>
      </c>
      <c r="P751" s="35">
        <f t="shared" si="107"/>
        <v>3.8078106571254322E-3</v>
      </c>
    </row>
    <row r="752" spans="13:16" customFormat="1" x14ac:dyDescent="0.25">
      <c r="M752" t="s">
        <v>53</v>
      </c>
      <c r="N752" s="35">
        <f t="shared" si="103"/>
        <v>0.99411103863158656</v>
      </c>
      <c r="O752" s="35">
        <f t="shared" si="104"/>
        <v>0.99999999999999967</v>
      </c>
      <c r="P752" s="35">
        <f t="shared" si="107"/>
        <v>5.8889613684131037E-3</v>
      </c>
    </row>
    <row r="753" spans="13:23" customFormat="1" x14ac:dyDescent="0.25">
      <c r="M753" t="s">
        <v>54</v>
      </c>
      <c r="N753" s="35">
        <f t="shared" si="103"/>
        <v>1</v>
      </c>
      <c r="O753" s="35">
        <f t="shared" si="104"/>
        <v>0.99999999999999967</v>
      </c>
      <c r="P753" s="35">
        <f t="shared" si="107"/>
        <v>3.3306690738754696E-16</v>
      </c>
    </row>
    <row r="754" spans="13:23" customFormat="1" x14ac:dyDescent="0.25">
      <c r="M754" t="s">
        <v>15</v>
      </c>
      <c r="P754" s="35">
        <f>MAX(P739:P753)</f>
        <v>0.12062719584348991</v>
      </c>
    </row>
    <row r="756" spans="13:23" customFormat="1" x14ac:dyDescent="0.25">
      <c r="M756" t="s">
        <v>266</v>
      </c>
      <c r="T756" t="s">
        <v>153</v>
      </c>
    </row>
    <row r="757" spans="13:23" customFormat="1" x14ac:dyDescent="0.25">
      <c r="M757" t="s">
        <v>160</v>
      </c>
      <c r="N757" t="s">
        <v>267</v>
      </c>
      <c r="O757" t="s">
        <v>230</v>
      </c>
      <c r="P757" t="s">
        <v>39</v>
      </c>
      <c r="T757" t="s">
        <v>145</v>
      </c>
      <c r="U757" t="s">
        <v>146</v>
      </c>
      <c r="V757" t="s">
        <v>150</v>
      </c>
    </row>
    <row r="758" spans="13:23" customFormat="1" x14ac:dyDescent="0.25">
      <c r="M758" t="s">
        <v>6</v>
      </c>
      <c r="N758" s="70">
        <f>(N422+O422)/2</f>
        <v>1.1986301369863013E-2</v>
      </c>
      <c r="O758" s="69">
        <f>O590</f>
        <v>1.4466089466089465E-2</v>
      </c>
      <c r="P758">
        <f t="shared" ref="P758:P765" si="108">ABS(N758-O758)</f>
        <v>2.4797880962264523E-3</v>
      </c>
      <c r="T758">
        <v>0.1</v>
      </c>
      <c r="U758">
        <v>1.22</v>
      </c>
      <c r="V758">
        <f>SQRT((T763+T764)/(T763*T764))</f>
        <v>0.11124684011100254</v>
      </c>
      <c r="W758">
        <f>PRODUCT(V758, U758)</f>
        <v>0.13572114493542309</v>
      </c>
    </row>
    <row r="759" spans="13:23" customFormat="1" x14ac:dyDescent="0.25">
      <c r="M759" t="s">
        <v>7</v>
      </c>
      <c r="N759" s="70">
        <f t="shared" ref="N759:N809" si="109">(N423+O423)/2</f>
        <v>7.7530441400304406E-2</v>
      </c>
      <c r="O759" s="69">
        <f t="shared" ref="O759:O809" si="110">O591</f>
        <v>6.9805194805194815E-2</v>
      </c>
      <c r="P759">
        <f t="shared" si="108"/>
        <v>7.7252465951095917E-3</v>
      </c>
      <c r="T759">
        <v>0.05</v>
      </c>
      <c r="U759">
        <v>1.36</v>
      </c>
      <c r="W759">
        <f>V758*U759</f>
        <v>0.15129570255096347</v>
      </c>
    </row>
    <row r="760" spans="13:23" customFormat="1" x14ac:dyDescent="0.25">
      <c r="M760" t="s">
        <v>8</v>
      </c>
      <c r="N760" s="70">
        <f t="shared" si="109"/>
        <v>0.30332001522070018</v>
      </c>
      <c r="O760" s="69">
        <f t="shared" si="110"/>
        <v>0.28549783549783547</v>
      </c>
      <c r="P760">
        <f t="shared" si="108"/>
        <v>1.7822179722864706E-2</v>
      </c>
      <c r="T760">
        <v>0.01</v>
      </c>
      <c r="U760">
        <v>1.63</v>
      </c>
      <c r="W760">
        <f>V758*U760</f>
        <v>0.18133234938093412</v>
      </c>
    </row>
    <row r="761" spans="13:23" customFormat="1" x14ac:dyDescent="0.25">
      <c r="M761" t="s">
        <v>9</v>
      </c>
      <c r="N761" s="70">
        <f t="shared" si="109"/>
        <v>0.72578957382039566</v>
      </c>
      <c r="O761" s="69">
        <f t="shared" si="110"/>
        <v>0.64837662337662327</v>
      </c>
      <c r="P761">
        <f t="shared" si="108"/>
        <v>7.7412950443772388E-2</v>
      </c>
      <c r="R761" t="s">
        <v>216</v>
      </c>
      <c r="V761">
        <f>MAX(P766, P776, P793, P810)</f>
        <v>9.4746140465318485E-2</v>
      </c>
    </row>
    <row r="762" spans="13:23" customFormat="1" x14ac:dyDescent="0.25">
      <c r="M762" t="s">
        <v>10</v>
      </c>
      <c r="N762" s="70">
        <f t="shared" si="109"/>
        <v>0.8792808219178081</v>
      </c>
      <c r="O762" s="69">
        <f t="shared" si="110"/>
        <v>0.81154401154401146</v>
      </c>
      <c r="P762">
        <f t="shared" si="108"/>
        <v>6.7736810373796641E-2</v>
      </c>
      <c r="T762" t="s">
        <v>147</v>
      </c>
    </row>
    <row r="763" spans="13:23" customFormat="1" x14ac:dyDescent="0.25">
      <c r="M763" t="s">
        <v>11</v>
      </c>
      <c r="N763" s="70">
        <f t="shared" si="109"/>
        <v>0.94484874429223731</v>
      </c>
      <c r="O763" s="69">
        <f t="shared" si="110"/>
        <v>0.96821789321789309</v>
      </c>
      <c r="P763">
        <f t="shared" si="108"/>
        <v>2.3369148925655781E-2</v>
      </c>
      <c r="S763" t="s">
        <v>268</v>
      </c>
      <c r="T763">
        <v>170</v>
      </c>
    </row>
    <row r="764" spans="13:23" customFormat="1" x14ac:dyDescent="0.25">
      <c r="M764" t="s">
        <v>12</v>
      </c>
      <c r="N764" s="70">
        <f t="shared" si="109"/>
        <v>0.9758609208523592</v>
      </c>
      <c r="O764" s="69">
        <f t="shared" si="110"/>
        <v>0.9957431457431456</v>
      </c>
      <c r="P764">
        <f t="shared" si="108"/>
        <v>1.9882224890786393E-2</v>
      </c>
      <c r="S764" t="s">
        <v>232</v>
      </c>
      <c r="T764">
        <v>154</v>
      </c>
    </row>
    <row r="765" spans="13:23" customFormat="1" x14ac:dyDescent="0.25">
      <c r="M765" t="s">
        <v>22</v>
      </c>
      <c r="N765" s="70">
        <f t="shared" si="109"/>
        <v>1</v>
      </c>
      <c r="O765" s="69">
        <f t="shared" si="110"/>
        <v>0.99999999999999989</v>
      </c>
      <c r="P765">
        <f t="shared" si="108"/>
        <v>1.1102230246251565E-16</v>
      </c>
    </row>
    <row r="766" spans="13:23" customFormat="1" x14ac:dyDescent="0.25">
      <c r="M766" t="s">
        <v>15</v>
      </c>
      <c r="N766" s="70"/>
      <c r="O766" s="69"/>
      <c r="P766">
        <f>MAX(P758:P765)</f>
        <v>7.7412950443772388E-2</v>
      </c>
    </row>
    <row r="767" spans="13:23" customFormat="1" x14ac:dyDescent="0.25">
      <c r="M767" t="s">
        <v>161</v>
      </c>
      <c r="N767" s="70"/>
      <c r="O767" s="69"/>
    </row>
    <row r="768" spans="13:23" customFormat="1" x14ac:dyDescent="0.25">
      <c r="M768" t="s">
        <v>93</v>
      </c>
      <c r="N768" s="70">
        <f t="shared" si="109"/>
        <v>6.7089992389649925E-2</v>
      </c>
      <c r="O768" s="69">
        <f t="shared" si="110"/>
        <v>5.1695526695526697E-2</v>
      </c>
      <c r="P768">
        <f>ABS(N768-O768)</f>
        <v>1.5394465694123227E-2</v>
      </c>
    </row>
    <row r="769" spans="13:16" customFormat="1" x14ac:dyDescent="0.25">
      <c r="M769" t="s">
        <v>16</v>
      </c>
      <c r="N769" s="70">
        <f t="shared" si="109"/>
        <v>0.12209855403348555</v>
      </c>
      <c r="O769" s="69">
        <f t="shared" si="110"/>
        <v>0.1076118326118326</v>
      </c>
      <c r="P769">
        <f t="shared" ref="P769:P775" si="111">ABS(N769-O769)</f>
        <v>1.4486721421652943E-2</v>
      </c>
    </row>
    <row r="770" spans="13:16" customFormat="1" x14ac:dyDescent="0.25">
      <c r="M770" t="s">
        <v>17</v>
      </c>
      <c r="N770" s="70">
        <f t="shared" si="109"/>
        <v>0.28265315829528159</v>
      </c>
      <c r="O770" s="69">
        <f t="shared" si="110"/>
        <v>0.34430014430014427</v>
      </c>
      <c r="P770">
        <f t="shared" si="111"/>
        <v>6.1646986004862681E-2</v>
      </c>
    </row>
    <row r="771" spans="13:16" customFormat="1" x14ac:dyDescent="0.25">
      <c r="M771" t="s">
        <v>18</v>
      </c>
      <c r="N771" s="70">
        <f t="shared" si="109"/>
        <v>0.48798991628614913</v>
      </c>
      <c r="O771" s="69">
        <f t="shared" si="110"/>
        <v>0.5536435786435786</v>
      </c>
      <c r="P771">
        <f t="shared" si="111"/>
        <v>6.5653662357429476E-2</v>
      </c>
    </row>
    <row r="772" spans="13:16" customFormat="1" x14ac:dyDescent="0.25">
      <c r="M772" t="s">
        <v>19</v>
      </c>
      <c r="N772" s="70">
        <f t="shared" si="109"/>
        <v>0.79839707001522076</v>
      </c>
      <c r="O772" s="69">
        <f t="shared" si="110"/>
        <v>0.82575757575757569</v>
      </c>
      <c r="P772">
        <f t="shared" si="111"/>
        <v>2.7360505742354935E-2</v>
      </c>
    </row>
    <row r="773" spans="13:16" customFormat="1" x14ac:dyDescent="0.25">
      <c r="M773" t="s">
        <v>20</v>
      </c>
      <c r="N773" s="70">
        <f t="shared" si="109"/>
        <v>0.91723744292237441</v>
      </c>
      <c r="O773" s="69">
        <f t="shared" si="110"/>
        <v>0.94523809523809521</v>
      </c>
      <c r="P773">
        <f t="shared" si="111"/>
        <v>2.8000652315720798E-2</v>
      </c>
    </row>
    <row r="774" spans="13:16" customFormat="1" x14ac:dyDescent="0.25">
      <c r="M774" t="s">
        <v>21</v>
      </c>
      <c r="N774" s="70">
        <f t="shared" si="109"/>
        <v>0.98280536529680362</v>
      </c>
      <c r="O774" s="69">
        <f t="shared" si="110"/>
        <v>0.99148629148629142</v>
      </c>
      <c r="P774">
        <f t="shared" si="111"/>
        <v>8.680926189487792E-3</v>
      </c>
    </row>
    <row r="775" spans="13:16" customFormat="1" x14ac:dyDescent="0.25">
      <c r="M775" t="s">
        <v>23</v>
      </c>
      <c r="N775" s="70">
        <f t="shared" si="109"/>
        <v>1</v>
      </c>
      <c r="O775" s="69">
        <f t="shared" si="110"/>
        <v>0.99999999999999989</v>
      </c>
      <c r="P775">
        <f t="shared" si="111"/>
        <v>1.1102230246251565E-16</v>
      </c>
    </row>
    <row r="776" spans="13:16" customFormat="1" x14ac:dyDescent="0.25">
      <c r="M776" t="s">
        <v>15</v>
      </c>
      <c r="N776" s="70"/>
      <c r="O776" s="69"/>
      <c r="P776">
        <f>MAX(P768:P775)</f>
        <v>6.5653662357429476E-2</v>
      </c>
    </row>
    <row r="777" spans="13:16" customFormat="1" x14ac:dyDescent="0.25">
      <c r="M777" t="s">
        <v>162</v>
      </c>
      <c r="N777" s="70"/>
      <c r="O777" s="69"/>
    </row>
    <row r="778" spans="13:16" customFormat="1" x14ac:dyDescent="0.25">
      <c r="M778" t="s">
        <v>24</v>
      </c>
      <c r="N778" s="70">
        <f t="shared" si="109"/>
        <v>1.7123287671232876E-3</v>
      </c>
      <c r="O778" s="69">
        <f t="shared" si="110"/>
        <v>0</v>
      </c>
      <c r="P778">
        <f>ABS(N778-O778)</f>
        <v>1.7123287671232876E-3</v>
      </c>
    </row>
    <row r="779" spans="13:16" customFormat="1" x14ac:dyDescent="0.25">
      <c r="M779" t="s">
        <v>25</v>
      </c>
      <c r="N779" s="70">
        <f t="shared" si="109"/>
        <v>8.5854261796042622E-3</v>
      </c>
      <c r="O779" s="69">
        <f t="shared" si="110"/>
        <v>8.802308802308801E-3</v>
      </c>
      <c r="P779">
        <f t="shared" ref="P779:P792" si="112">ABS(N779-O779)</f>
        <v>2.1688262270453881E-4</v>
      </c>
    </row>
    <row r="780" spans="13:16" customFormat="1" x14ac:dyDescent="0.25">
      <c r="M780" t="s">
        <v>26</v>
      </c>
      <c r="N780" s="70">
        <f t="shared" si="109"/>
        <v>2.2379185692541857E-2</v>
      </c>
      <c r="O780" s="69">
        <f t="shared" si="110"/>
        <v>2.9256854256854255E-2</v>
      </c>
      <c r="P780">
        <f t="shared" si="112"/>
        <v>6.8776685643123989E-3</v>
      </c>
    </row>
    <row r="781" spans="13:16" customFormat="1" x14ac:dyDescent="0.25">
      <c r="M781" t="s">
        <v>27</v>
      </c>
      <c r="N781" s="70">
        <f t="shared" si="109"/>
        <v>4.9871575342465752E-2</v>
      </c>
      <c r="O781" s="69">
        <f t="shared" si="110"/>
        <v>5.9054834054834054E-2</v>
      </c>
      <c r="P781">
        <f t="shared" si="112"/>
        <v>9.1832587123683029E-3</v>
      </c>
    </row>
    <row r="782" spans="13:16" customFormat="1" x14ac:dyDescent="0.25">
      <c r="M782" t="s">
        <v>28</v>
      </c>
      <c r="N782" s="70">
        <f t="shared" si="109"/>
        <v>0.12383466514459665</v>
      </c>
      <c r="O782" s="69">
        <f t="shared" si="110"/>
        <v>0.14931457431457432</v>
      </c>
      <c r="P782">
        <f t="shared" si="112"/>
        <v>2.5479909169977666E-2</v>
      </c>
    </row>
    <row r="783" spans="13:16" customFormat="1" x14ac:dyDescent="0.25">
      <c r="M783" t="s">
        <v>29</v>
      </c>
      <c r="N783" s="70">
        <f t="shared" si="109"/>
        <v>0.23411339421613395</v>
      </c>
      <c r="O783" s="69">
        <f t="shared" si="110"/>
        <v>0.27391774891774889</v>
      </c>
      <c r="P783">
        <f t="shared" si="112"/>
        <v>3.9804354701614947E-2</v>
      </c>
    </row>
    <row r="784" spans="13:16" customFormat="1" x14ac:dyDescent="0.25">
      <c r="M784" t="s">
        <v>30</v>
      </c>
      <c r="N784" s="70">
        <f t="shared" si="109"/>
        <v>0.43628710045662106</v>
      </c>
      <c r="O784" s="69">
        <f t="shared" si="110"/>
        <v>0.49209956709956704</v>
      </c>
      <c r="P784">
        <f t="shared" si="112"/>
        <v>5.5812466642945979E-2</v>
      </c>
    </row>
    <row r="785" spans="13:16" customFormat="1" x14ac:dyDescent="0.25">
      <c r="M785" t="s">
        <v>31</v>
      </c>
      <c r="N785" s="70">
        <f t="shared" si="109"/>
        <v>0.80871860730593625</v>
      </c>
      <c r="O785" s="69">
        <f t="shared" si="110"/>
        <v>0.78827561327561324</v>
      </c>
      <c r="P785">
        <f t="shared" si="112"/>
        <v>2.0442994030323014E-2</v>
      </c>
    </row>
    <row r="786" spans="13:16" customFormat="1" x14ac:dyDescent="0.25">
      <c r="M786" t="s">
        <v>32</v>
      </c>
      <c r="N786" s="70">
        <f t="shared" si="109"/>
        <v>0.93286244292237464</v>
      </c>
      <c r="O786" s="69">
        <f t="shared" si="110"/>
        <v>0.89015151515151514</v>
      </c>
      <c r="P786">
        <f t="shared" si="112"/>
        <v>4.2710927770859497E-2</v>
      </c>
    </row>
    <row r="787" spans="13:16" customFormat="1" x14ac:dyDescent="0.25">
      <c r="M787" t="s">
        <v>33</v>
      </c>
      <c r="N787" s="70">
        <f t="shared" si="109"/>
        <v>0.97583713850837173</v>
      </c>
      <c r="O787" s="69">
        <f t="shared" si="110"/>
        <v>0.94181096681096665</v>
      </c>
      <c r="P787">
        <f t="shared" si="112"/>
        <v>3.4026171697405072E-2</v>
      </c>
    </row>
    <row r="788" spans="13:16" customFormat="1" x14ac:dyDescent="0.25">
      <c r="M788" t="s">
        <v>34</v>
      </c>
      <c r="N788" s="70">
        <f t="shared" si="109"/>
        <v>0.99136700913242037</v>
      </c>
      <c r="O788" s="69">
        <f t="shared" si="110"/>
        <v>0.98268398268398249</v>
      </c>
      <c r="P788">
        <f t="shared" si="112"/>
        <v>8.6830264484378805E-3</v>
      </c>
    </row>
    <row r="789" spans="13:16" customFormat="1" x14ac:dyDescent="0.25">
      <c r="M789" t="s">
        <v>35</v>
      </c>
      <c r="N789" s="70">
        <f t="shared" si="109"/>
        <v>0.99652777777777812</v>
      </c>
      <c r="O789" s="69">
        <f t="shared" si="110"/>
        <v>0.9980158730158728</v>
      </c>
      <c r="P789">
        <f t="shared" si="112"/>
        <v>1.4880952380946777E-3</v>
      </c>
    </row>
    <row r="790" spans="13:16" customFormat="1" x14ac:dyDescent="0.25">
      <c r="M790" t="s">
        <v>36</v>
      </c>
      <c r="N790" s="70">
        <f t="shared" si="109"/>
        <v>0.99652777777777812</v>
      </c>
      <c r="O790" s="69">
        <f t="shared" si="110"/>
        <v>0.99999999999999978</v>
      </c>
      <c r="P790">
        <f t="shared" si="112"/>
        <v>3.4722222222216548E-3</v>
      </c>
    </row>
    <row r="791" spans="13:16" customFormat="1" x14ac:dyDescent="0.25">
      <c r="M791" t="s">
        <v>37</v>
      </c>
      <c r="N791" s="70">
        <f t="shared" si="109"/>
        <v>0.99826388888888917</v>
      </c>
      <c r="O791" s="69">
        <f t="shared" si="110"/>
        <v>0.99999999999999978</v>
      </c>
      <c r="P791">
        <f t="shared" si="112"/>
        <v>1.7361111111106053E-3</v>
      </c>
    </row>
    <row r="792" spans="13:16" customFormat="1" x14ac:dyDescent="0.25">
      <c r="M792" t="s">
        <v>38</v>
      </c>
      <c r="N792" s="70">
        <f t="shared" si="109"/>
        <v>1.0000000000000002</v>
      </c>
      <c r="O792" s="69">
        <f t="shared" si="110"/>
        <v>0.99999999999999978</v>
      </c>
      <c r="P792">
        <f t="shared" si="112"/>
        <v>4.4408920985006262E-16</v>
      </c>
    </row>
    <row r="793" spans="13:16" customFormat="1" x14ac:dyDescent="0.25">
      <c r="M793" t="s">
        <v>15</v>
      </c>
      <c r="N793" s="70"/>
      <c r="O793" s="69"/>
      <c r="P793">
        <f>MAX(P778:P792)</f>
        <v>5.5812466642945979E-2</v>
      </c>
    </row>
    <row r="794" spans="13:16" customFormat="1" x14ac:dyDescent="0.25">
      <c r="M794" t="s">
        <v>163</v>
      </c>
      <c r="N794" s="70"/>
      <c r="O794" s="69"/>
    </row>
    <row r="795" spans="13:16" customFormat="1" x14ac:dyDescent="0.25">
      <c r="M795" t="s">
        <v>40</v>
      </c>
      <c r="N795" s="70">
        <f t="shared" si="109"/>
        <v>1.6248097412480976E-2</v>
      </c>
      <c r="O795" s="69">
        <f t="shared" si="110"/>
        <v>2.2727272727272726E-3</v>
      </c>
      <c r="P795">
        <f>ABS(N795-O795)</f>
        <v>1.3975370139753703E-2</v>
      </c>
    </row>
    <row r="796" spans="13:16" customFormat="1" x14ac:dyDescent="0.25">
      <c r="M796" t="s">
        <v>41</v>
      </c>
      <c r="N796" s="70">
        <f t="shared" si="109"/>
        <v>2.5551750380517504E-2</v>
      </c>
      <c r="O796" s="69">
        <f t="shared" si="110"/>
        <v>2.2727272727272726E-3</v>
      </c>
      <c r="P796">
        <f t="shared" ref="P796:P809" si="113">ABS(N796-O796)</f>
        <v>2.3279023107790231E-2</v>
      </c>
    </row>
    <row r="797" spans="13:16" customFormat="1" x14ac:dyDescent="0.25">
      <c r="M797" t="s">
        <v>42</v>
      </c>
      <c r="N797" s="70">
        <f t="shared" si="109"/>
        <v>4.1057838660578383E-2</v>
      </c>
      <c r="O797" s="69">
        <f t="shared" si="110"/>
        <v>1.93001443001443E-2</v>
      </c>
      <c r="P797">
        <f t="shared" si="113"/>
        <v>2.1757694360434083E-2</v>
      </c>
    </row>
    <row r="798" spans="13:16" customFormat="1" x14ac:dyDescent="0.25">
      <c r="M798" t="s">
        <v>43</v>
      </c>
      <c r="N798" s="70">
        <f t="shared" si="109"/>
        <v>6.2347792998477924E-2</v>
      </c>
      <c r="O798" s="69">
        <f t="shared" si="110"/>
        <v>3.6904761904761899E-2</v>
      </c>
      <c r="P798">
        <f t="shared" si="113"/>
        <v>2.5443031093716026E-2</v>
      </c>
    </row>
    <row r="799" spans="13:16" customFormat="1" x14ac:dyDescent="0.25">
      <c r="M799" t="s">
        <v>44</v>
      </c>
      <c r="N799" s="70">
        <f t="shared" si="109"/>
        <v>0.12821537290715374</v>
      </c>
      <c r="O799" s="69">
        <f t="shared" si="110"/>
        <v>0.11637806637806639</v>
      </c>
      <c r="P799">
        <f t="shared" si="113"/>
        <v>1.1837306529087349E-2</v>
      </c>
    </row>
    <row r="800" spans="13:16" customFormat="1" x14ac:dyDescent="0.25">
      <c r="M800" t="s">
        <v>45</v>
      </c>
      <c r="N800" s="70">
        <f t="shared" si="109"/>
        <v>0.22153729071537293</v>
      </c>
      <c r="O800" s="69">
        <f t="shared" si="110"/>
        <v>0.218001443001443</v>
      </c>
      <c r="P800">
        <f t="shared" si="113"/>
        <v>3.5358477139299238E-3</v>
      </c>
    </row>
    <row r="801" spans="13:16" customFormat="1" x14ac:dyDescent="0.25">
      <c r="M801" t="s">
        <v>46</v>
      </c>
      <c r="N801" s="70">
        <f t="shared" si="109"/>
        <v>0.37007229832572303</v>
      </c>
      <c r="O801" s="69">
        <f t="shared" si="110"/>
        <v>0.3893939393939394</v>
      </c>
      <c r="P801">
        <f t="shared" si="113"/>
        <v>1.9321641068216378E-2</v>
      </c>
    </row>
    <row r="802" spans="13:16" customFormat="1" x14ac:dyDescent="0.25">
      <c r="M802" t="s">
        <v>47</v>
      </c>
      <c r="N802" s="70">
        <f t="shared" si="109"/>
        <v>0.52787290715372914</v>
      </c>
      <c r="O802" s="69">
        <f t="shared" si="110"/>
        <v>0.62261904761904763</v>
      </c>
      <c r="P802">
        <f t="shared" si="113"/>
        <v>9.4746140465318485E-2</v>
      </c>
    </row>
    <row r="803" spans="13:16" customFormat="1" x14ac:dyDescent="0.25">
      <c r="M803" t="s">
        <v>48</v>
      </c>
      <c r="N803" s="70">
        <f t="shared" si="109"/>
        <v>0.74185692541856929</v>
      </c>
      <c r="O803" s="69">
        <f t="shared" si="110"/>
        <v>0.80108225108225106</v>
      </c>
      <c r="P803">
        <f t="shared" si="113"/>
        <v>5.9225325663681772E-2</v>
      </c>
    </row>
    <row r="804" spans="13:16" customFormat="1" x14ac:dyDescent="0.25">
      <c r="M804" t="s">
        <v>49</v>
      </c>
      <c r="N804" s="70">
        <f t="shared" si="109"/>
        <v>0.84794520547945207</v>
      </c>
      <c r="O804" s="69">
        <f t="shared" si="110"/>
        <v>0.8924603174603174</v>
      </c>
      <c r="P804">
        <f t="shared" si="113"/>
        <v>4.4515111980865329E-2</v>
      </c>
    </row>
    <row r="805" spans="13:16" customFormat="1" x14ac:dyDescent="0.25">
      <c r="M805" t="s">
        <v>50</v>
      </c>
      <c r="N805" s="70">
        <f t="shared" si="109"/>
        <v>0.92760654490106553</v>
      </c>
      <c r="O805" s="69">
        <f t="shared" si="110"/>
        <v>0.95404040404040391</v>
      </c>
      <c r="P805">
        <f t="shared" si="113"/>
        <v>2.6433859139338378E-2</v>
      </c>
    </row>
    <row r="806" spans="13:16" customFormat="1" x14ac:dyDescent="0.25">
      <c r="M806" t="s">
        <v>51</v>
      </c>
      <c r="N806" s="70">
        <f t="shared" si="109"/>
        <v>0.95690639269406397</v>
      </c>
      <c r="O806" s="69">
        <f t="shared" si="110"/>
        <v>0.97958152958152933</v>
      </c>
      <c r="P806">
        <f t="shared" si="113"/>
        <v>2.2675136887465364E-2</v>
      </c>
    </row>
    <row r="807" spans="13:16" customFormat="1" x14ac:dyDescent="0.25">
      <c r="M807" t="s">
        <v>52</v>
      </c>
      <c r="N807" s="70">
        <f t="shared" si="109"/>
        <v>0.98727168949771693</v>
      </c>
      <c r="O807" s="69">
        <f t="shared" si="110"/>
        <v>0.99375901875901862</v>
      </c>
      <c r="P807">
        <f t="shared" si="113"/>
        <v>6.4873292613016886E-3</v>
      </c>
    </row>
    <row r="808" spans="13:16" customFormat="1" x14ac:dyDescent="0.25">
      <c r="M808" t="s">
        <v>53</v>
      </c>
      <c r="N808" s="70">
        <f t="shared" si="109"/>
        <v>0.99176179604261794</v>
      </c>
      <c r="O808" s="69">
        <f t="shared" si="110"/>
        <v>0.9980158730158728</v>
      </c>
      <c r="P808">
        <f t="shared" si="113"/>
        <v>6.2540769732548629E-3</v>
      </c>
    </row>
    <row r="809" spans="13:16" customFormat="1" x14ac:dyDescent="0.25">
      <c r="M809" t="s">
        <v>54</v>
      </c>
      <c r="N809" s="70">
        <f t="shared" si="109"/>
        <v>1</v>
      </c>
      <c r="O809" s="69">
        <f t="shared" si="110"/>
        <v>0.99999999999999978</v>
      </c>
      <c r="P809">
        <f t="shared" si="113"/>
        <v>2.2204460492503131E-16</v>
      </c>
    </row>
    <row r="810" spans="13:16" customFormat="1" x14ac:dyDescent="0.25">
      <c r="M810" t="s">
        <v>15</v>
      </c>
      <c r="P810">
        <f>MAX(P795:P809)</f>
        <v>9.4746140465318485E-2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opLeftCell="H1" workbookViewId="0">
      <selection activeCell="Q1" sqref="Q1"/>
    </sheetView>
  </sheetViews>
  <sheetFormatPr defaultColWidth="8.7109375" defaultRowHeight="15" x14ac:dyDescent="0.25"/>
  <sheetData>
    <row r="1" spans="1:22" x14ac:dyDescent="0.25">
      <c r="A1" s="1" t="s">
        <v>87</v>
      </c>
      <c r="J1" s="4" t="s">
        <v>58</v>
      </c>
      <c r="K1" s="4" t="s">
        <v>90</v>
      </c>
      <c r="M1" s="8"/>
      <c r="N1" s="7"/>
      <c r="O1" s="7"/>
      <c r="P1" s="7"/>
      <c r="Q1" s="7"/>
      <c r="R1" s="7"/>
      <c r="S1" s="7"/>
      <c r="T1" s="7"/>
      <c r="U1" s="7"/>
      <c r="V1" s="7"/>
    </row>
    <row r="2" spans="1:22" x14ac:dyDescent="0.25">
      <c r="A2" s="1" t="s">
        <v>61</v>
      </c>
      <c r="J2" s="4"/>
      <c r="K2" s="4"/>
      <c r="M2" s="8"/>
      <c r="N2" s="7"/>
      <c r="O2" s="7"/>
      <c r="P2" s="7"/>
      <c r="Q2" s="7"/>
      <c r="R2" s="7"/>
      <c r="S2" s="7"/>
      <c r="T2" s="7"/>
      <c r="U2" s="7"/>
      <c r="V2" s="7"/>
    </row>
    <row r="3" spans="1:22" x14ac:dyDescent="0.25">
      <c r="A3" s="2" t="s">
        <v>55</v>
      </c>
      <c r="B3">
        <v>15</v>
      </c>
      <c r="C3">
        <v>7</v>
      </c>
      <c r="D3">
        <v>8</v>
      </c>
      <c r="E3">
        <v>38</v>
      </c>
      <c r="F3">
        <v>28</v>
      </c>
      <c r="G3">
        <v>15</v>
      </c>
      <c r="H3">
        <v>15</v>
      </c>
      <c r="I3">
        <v>40</v>
      </c>
      <c r="J3" s="4">
        <f>SUM(B3:I3)</f>
        <v>166</v>
      </c>
      <c r="K3" s="12">
        <f>J3/$J$11</f>
        <v>0.15257352941176472</v>
      </c>
      <c r="M3" s="87"/>
      <c r="N3" s="7"/>
      <c r="O3" s="7"/>
      <c r="P3" s="7"/>
      <c r="Q3" s="7"/>
      <c r="R3" s="7"/>
      <c r="S3" s="7"/>
      <c r="T3" s="7"/>
      <c r="U3" s="7"/>
      <c r="V3" s="7"/>
    </row>
    <row r="4" spans="1:22" x14ac:dyDescent="0.25">
      <c r="A4" s="3" t="s">
        <v>56</v>
      </c>
      <c r="B4">
        <v>3</v>
      </c>
      <c r="C4">
        <v>5</v>
      </c>
      <c r="D4">
        <v>9</v>
      </c>
      <c r="E4">
        <v>15</v>
      </c>
      <c r="F4">
        <v>18</v>
      </c>
      <c r="G4">
        <v>20</v>
      </c>
      <c r="H4">
        <v>28</v>
      </c>
      <c r="I4">
        <v>15</v>
      </c>
      <c r="J4" s="4">
        <f t="shared" ref="J4:J10" si="0">SUM(B4:I4)</f>
        <v>113</v>
      </c>
      <c r="K4" s="12">
        <f t="shared" ref="K4:K10" si="1">J4/$J$11</f>
        <v>0.10386029411764706</v>
      </c>
      <c r="M4" s="88"/>
      <c r="N4" s="7"/>
      <c r="O4" s="7"/>
      <c r="P4" s="7"/>
      <c r="Q4" s="7"/>
      <c r="R4" s="7"/>
      <c r="S4" s="7"/>
      <c r="T4" s="7"/>
      <c r="U4" s="7"/>
      <c r="V4" s="7"/>
    </row>
    <row r="5" spans="1:22" x14ac:dyDescent="0.25">
      <c r="A5" t="s">
        <v>57</v>
      </c>
      <c r="B5">
        <v>2</v>
      </c>
      <c r="C5">
        <v>7</v>
      </c>
      <c r="D5">
        <v>11</v>
      </c>
      <c r="E5">
        <v>22</v>
      </c>
      <c r="F5">
        <v>27</v>
      </c>
      <c r="G5">
        <v>43</v>
      </c>
      <c r="H5">
        <v>14</v>
      </c>
      <c r="I5">
        <v>6</v>
      </c>
      <c r="J5" s="4">
        <f t="shared" si="0"/>
        <v>132</v>
      </c>
      <c r="K5" s="12">
        <f t="shared" si="1"/>
        <v>0.12132352941176471</v>
      </c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x14ac:dyDescent="0.25">
      <c r="A6" t="s">
        <v>59</v>
      </c>
      <c r="B6">
        <v>2</v>
      </c>
      <c r="C6">
        <v>5</v>
      </c>
      <c r="D6">
        <v>13</v>
      </c>
      <c r="E6">
        <v>58</v>
      </c>
      <c r="F6">
        <v>65</v>
      </c>
      <c r="G6">
        <v>23</v>
      </c>
      <c r="H6">
        <v>15</v>
      </c>
      <c r="I6">
        <v>5</v>
      </c>
      <c r="J6" s="4">
        <f t="shared" si="0"/>
        <v>186</v>
      </c>
      <c r="K6" s="12">
        <f t="shared" si="1"/>
        <v>0.17095588235294118</v>
      </c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x14ac:dyDescent="0.25">
      <c r="A7" t="s">
        <v>60</v>
      </c>
      <c r="B7">
        <v>0</v>
      </c>
      <c r="C7">
        <v>12</v>
      </c>
      <c r="D7">
        <v>28</v>
      </c>
      <c r="E7">
        <v>95</v>
      </c>
      <c r="F7">
        <v>47</v>
      </c>
      <c r="G7">
        <v>24</v>
      </c>
      <c r="H7">
        <v>15</v>
      </c>
      <c r="I7">
        <v>11</v>
      </c>
      <c r="J7" s="4">
        <f t="shared" si="0"/>
        <v>232</v>
      </c>
      <c r="K7" s="12">
        <f t="shared" si="1"/>
        <v>0.21323529411764705</v>
      </c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x14ac:dyDescent="0.25">
      <c r="A8" t="s">
        <v>62</v>
      </c>
      <c r="B8">
        <v>2</v>
      </c>
      <c r="C8">
        <v>7</v>
      </c>
      <c r="D8">
        <v>34</v>
      </c>
      <c r="E8">
        <v>22</v>
      </c>
      <c r="F8">
        <v>7</v>
      </c>
      <c r="G8">
        <v>12</v>
      </c>
      <c r="H8">
        <v>8</v>
      </c>
      <c r="I8">
        <v>10</v>
      </c>
      <c r="J8" s="4">
        <f t="shared" si="0"/>
        <v>102</v>
      </c>
      <c r="K8" s="12">
        <f t="shared" si="1"/>
        <v>9.375E-2</v>
      </c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x14ac:dyDescent="0.25">
      <c r="A9" t="s">
        <v>63</v>
      </c>
      <c r="B9">
        <v>3</v>
      </c>
      <c r="C9">
        <v>19</v>
      </c>
      <c r="D9">
        <v>6</v>
      </c>
      <c r="E9">
        <v>6</v>
      </c>
      <c r="F9">
        <v>3</v>
      </c>
      <c r="G9">
        <v>4</v>
      </c>
      <c r="H9">
        <v>8</v>
      </c>
      <c r="I9">
        <v>4</v>
      </c>
      <c r="J9" s="4">
        <f t="shared" si="0"/>
        <v>53</v>
      </c>
      <c r="K9" s="12">
        <f t="shared" si="1"/>
        <v>4.8713235294117647E-2</v>
      </c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x14ac:dyDescent="0.25">
      <c r="A10" t="s">
        <v>64</v>
      </c>
      <c r="B10">
        <v>69</v>
      </c>
      <c r="C10">
        <v>0</v>
      </c>
      <c r="D10">
        <v>3</v>
      </c>
      <c r="E10">
        <v>6</v>
      </c>
      <c r="F10">
        <v>3</v>
      </c>
      <c r="G10">
        <v>5</v>
      </c>
      <c r="H10">
        <v>5</v>
      </c>
      <c r="I10">
        <v>13</v>
      </c>
      <c r="J10" s="4">
        <f t="shared" si="0"/>
        <v>104</v>
      </c>
      <c r="K10" s="12">
        <f t="shared" si="1"/>
        <v>9.5588235294117641E-2</v>
      </c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15.75" customHeight="1" x14ac:dyDescent="0.25">
      <c r="A11" s="5" t="s">
        <v>65</v>
      </c>
      <c r="B11" s="6">
        <f>SUM(B3:B10)</f>
        <v>96</v>
      </c>
      <c r="C11" s="6">
        <f t="shared" ref="C11:I11" si="2">SUM(C3:C10)</f>
        <v>62</v>
      </c>
      <c r="D11" s="6">
        <f t="shared" si="2"/>
        <v>112</v>
      </c>
      <c r="E11" s="6">
        <f t="shared" si="2"/>
        <v>262</v>
      </c>
      <c r="F11" s="6">
        <f t="shared" si="2"/>
        <v>198</v>
      </c>
      <c r="G11" s="6">
        <f t="shared" si="2"/>
        <v>146</v>
      </c>
      <c r="H11" s="6">
        <f t="shared" si="2"/>
        <v>108</v>
      </c>
      <c r="I11" s="6">
        <f t="shared" si="2"/>
        <v>104</v>
      </c>
      <c r="J11" s="4">
        <f>SUM(J3:J10)</f>
        <v>1088</v>
      </c>
      <c r="K11" s="4"/>
      <c r="M11" s="8"/>
      <c r="N11" s="7"/>
      <c r="O11" s="7"/>
      <c r="P11" s="7"/>
      <c r="Q11" s="7"/>
      <c r="R11" s="7"/>
      <c r="S11" s="7"/>
      <c r="T11" s="7"/>
      <c r="U11" s="7"/>
      <c r="V11" s="7"/>
    </row>
    <row r="12" spans="1:22" x14ac:dyDescent="0.25">
      <c r="A12" s="5" t="s">
        <v>91</v>
      </c>
      <c r="B12" s="13">
        <f>B11/$J$11</f>
        <v>8.8235294117647065E-2</v>
      </c>
      <c r="C12" s="13">
        <f t="shared" ref="C12:I12" si="3">C11/$J$11</f>
        <v>5.6985294117647058E-2</v>
      </c>
      <c r="D12" s="13">
        <f t="shared" si="3"/>
        <v>0.10294117647058823</v>
      </c>
      <c r="E12" s="13">
        <f t="shared" si="3"/>
        <v>0.24080882352941177</v>
      </c>
      <c r="F12" s="13">
        <f t="shared" si="3"/>
        <v>0.18198529411764705</v>
      </c>
      <c r="G12" s="13">
        <f t="shared" si="3"/>
        <v>0.13419117647058823</v>
      </c>
      <c r="H12" s="13">
        <f t="shared" si="3"/>
        <v>9.9264705882352935E-2</v>
      </c>
      <c r="I12" s="13">
        <f t="shared" si="3"/>
        <v>9.5588235294117641E-2</v>
      </c>
      <c r="J12" s="19">
        <f>SUM(B12:I12)</f>
        <v>1</v>
      </c>
      <c r="K12" s="4"/>
      <c r="M12" s="8"/>
      <c r="N12" s="7"/>
      <c r="O12" s="7"/>
      <c r="P12" s="7"/>
      <c r="Q12" s="7"/>
      <c r="R12" s="7"/>
      <c r="S12" s="7"/>
      <c r="T12" s="7"/>
      <c r="U12" s="7"/>
      <c r="V12" s="7"/>
    </row>
    <row r="13" spans="1:22" x14ac:dyDescent="0.25">
      <c r="A13" s="5" t="s">
        <v>88</v>
      </c>
      <c r="B13" s="6" t="s">
        <v>64</v>
      </c>
      <c r="C13" s="6" t="s">
        <v>63</v>
      </c>
      <c r="D13" s="6" t="s">
        <v>62</v>
      </c>
      <c r="E13" s="6" t="s">
        <v>60</v>
      </c>
      <c r="F13" s="6" t="s">
        <v>59</v>
      </c>
      <c r="G13" s="6" t="s">
        <v>57</v>
      </c>
      <c r="H13" s="6" t="s">
        <v>89</v>
      </c>
      <c r="I13" s="6" t="s">
        <v>55</v>
      </c>
      <c r="J13" s="4"/>
      <c r="K13" s="4"/>
      <c r="M13" s="8"/>
      <c r="N13" s="7"/>
      <c r="O13" s="7"/>
      <c r="P13" s="7"/>
      <c r="Q13" s="7"/>
      <c r="R13" s="7"/>
      <c r="S13" s="7"/>
      <c r="T13" s="7"/>
      <c r="U13" s="7"/>
      <c r="V13" s="7"/>
    </row>
    <row r="14" spans="1:22" s="7" customFormat="1" x14ac:dyDescent="0.25">
      <c r="A14" s="8" t="s">
        <v>108</v>
      </c>
      <c r="M14" s="8"/>
    </row>
    <row r="15" spans="1:22" s="7" customFormat="1" x14ac:dyDescent="0.25">
      <c r="A15" s="1" t="s">
        <v>61</v>
      </c>
      <c r="B15"/>
      <c r="C15"/>
      <c r="D15"/>
      <c r="E15"/>
      <c r="F15"/>
      <c r="G15"/>
      <c r="H15"/>
      <c r="I15"/>
      <c r="J15" s="4"/>
      <c r="K15" s="4"/>
      <c r="M15" s="8"/>
    </row>
    <row r="16" spans="1:22" s="7" customFormat="1" x14ac:dyDescent="0.25">
      <c r="A16" s="2" t="s">
        <v>55</v>
      </c>
      <c r="B16" s="20">
        <f t="shared" ref="B16:I16" si="4">B3/$J$11</f>
        <v>1.3786764705882353E-2</v>
      </c>
      <c r="C16" s="20">
        <f t="shared" si="4"/>
        <v>6.4338235294117644E-3</v>
      </c>
      <c r="D16" s="20">
        <f t="shared" si="4"/>
        <v>7.3529411764705881E-3</v>
      </c>
      <c r="E16" s="20">
        <f t="shared" si="4"/>
        <v>3.4926470588235295E-2</v>
      </c>
      <c r="F16" s="20">
        <f t="shared" si="4"/>
        <v>2.5735294117647058E-2</v>
      </c>
      <c r="G16" s="20">
        <f t="shared" si="4"/>
        <v>1.3786764705882353E-2</v>
      </c>
      <c r="H16" s="20">
        <f t="shared" si="4"/>
        <v>1.3786764705882353E-2</v>
      </c>
      <c r="I16" s="20">
        <f t="shared" si="4"/>
        <v>3.6764705882352942E-2</v>
      </c>
      <c r="J16" s="12">
        <f>SUM(B16:I16)</f>
        <v>0.15257352941176472</v>
      </c>
      <c r="K16" s="12"/>
      <c r="M16" s="8"/>
    </row>
    <row r="17" spans="1:22" s="7" customFormat="1" x14ac:dyDescent="0.25">
      <c r="A17" s="3" t="s">
        <v>56</v>
      </c>
      <c r="B17" s="20">
        <f t="shared" ref="B17:I23" si="5">B4/$J$11</f>
        <v>2.7573529411764708E-3</v>
      </c>
      <c r="C17" s="20">
        <f t="shared" si="5"/>
        <v>4.5955882352941178E-3</v>
      </c>
      <c r="D17" s="20">
        <f t="shared" si="5"/>
        <v>8.2720588235294119E-3</v>
      </c>
      <c r="E17" s="20">
        <f t="shared" si="5"/>
        <v>1.3786764705882353E-2</v>
      </c>
      <c r="F17" s="20">
        <f t="shared" si="5"/>
        <v>1.6544117647058824E-2</v>
      </c>
      <c r="G17" s="20">
        <f t="shared" si="5"/>
        <v>1.8382352941176471E-2</v>
      </c>
      <c r="H17" s="20">
        <f t="shared" si="5"/>
        <v>2.5735294117647058E-2</v>
      </c>
      <c r="I17" s="20">
        <f t="shared" si="5"/>
        <v>1.3786764705882353E-2</v>
      </c>
      <c r="J17" s="12">
        <f t="shared" ref="J17:J23" si="6">SUM(B17:I17)</f>
        <v>0.10386029411764708</v>
      </c>
      <c r="K17" s="12"/>
      <c r="M17" s="8"/>
    </row>
    <row r="18" spans="1:22" s="7" customFormat="1" x14ac:dyDescent="0.25">
      <c r="A18" t="s">
        <v>57</v>
      </c>
      <c r="B18" s="20">
        <f t="shared" si="5"/>
        <v>1.838235294117647E-3</v>
      </c>
      <c r="C18" s="20">
        <f t="shared" si="5"/>
        <v>6.4338235294117644E-3</v>
      </c>
      <c r="D18" s="20">
        <f t="shared" si="5"/>
        <v>1.0110294117647059E-2</v>
      </c>
      <c r="E18" s="20">
        <f t="shared" si="5"/>
        <v>2.0220588235294119E-2</v>
      </c>
      <c r="F18" s="20">
        <f t="shared" si="5"/>
        <v>2.4816176470588234E-2</v>
      </c>
      <c r="G18" s="20">
        <f t="shared" si="5"/>
        <v>3.952205882352941E-2</v>
      </c>
      <c r="H18" s="20">
        <f t="shared" si="5"/>
        <v>1.2867647058823529E-2</v>
      </c>
      <c r="I18" s="20">
        <f t="shared" si="5"/>
        <v>5.5147058823529415E-3</v>
      </c>
      <c r="J18" s="12">
        <f t="shared" si="6"/>
        <v>0.12132352941176469</v>
      </c>
      <c r="K18" s="12"/>
      <c r="M18" s="8"/>
    </row>
    <row r="19" spans="1:22" s="7" customFormat="1" x14ac:dyDescent="0.25">
      <c r="A19" t="s">
        <v>59</v>
      </c>
      <c r="B19" s="20">
        <f t="shared" si="5"/>
        <v>1.838235294117647E-3</v>
      </c>
      <c r="C19" s="20">
        <f t="shared" si="5"/>
        <v>4.5955882352941178E-3</v>
      </c>
      <c r="D19" s="20">
        <f t="shared" si="5"/>
        <v>1.1948529411764705E-2</v>
      </c>
      <c r="E19" s="20">
        <f t="shared" si="5"/>
        <v>5.3308823529411763E-2</v>
      </c>
      <c r="F19" s="20">
        <f t="shared" si="5"/>
        <v>5.9742647058823532E-2</v>
      </c>
      <c r="G19" s="20">
        <f t="shared" si="5"/>
        <v>2.1139705882352942E-2</v>
      </c>
      <c r="H19" s="20">
        <f t="shared" si="5"/>
        <v>1.3786764705882353E-2</v>
      </c>
      <c r="I19" s="20">
        <f t="shared" si="5"/>
        <v>4.5955882352941178E-3</v>
      </c>
      <c r="J19" s="12">
        <f t="shared" si="6"/>
        <v>0.17095588235294121</v>
      </c>
      <c r="K19" s="12"/>
      <c r="M19" s="8"/>
    </row>
    <row r="20" spans="1:22" s="7" customFormat="1" x14ac:dyDescent="0.25">
      <c r="A20" t="s">
        <v>60</v>
      </c>
      <c r="B20" s="20">
        <f t="shared" si="5"/>
        <v>0</v>
      </c>
      <c r="C20" s="20">
        <f t="shared" si="5"/>
        <v>1.1029411764705883E-2</v>
      </c>
      <c r="D20" s="20">
        <f t="shared" si="5"/>
        <v>2.5735294117647058E-2</v>
      </c>
      <c r="E20" s="20">
        <f t="shared" si="5"/>
        <v>8.731617647058823E-2</v>
      </c>
      <c r="F20" s="20">
        <f t="shared" si="5"/>
        <v>4.3198529411764705E-2</v>
      </c>
      <c r="G20" s="20">
        <f t="shared" si="5"/>
        <v>2.2058823529411766E-2</v>
      </c>
      <c r="H20" s="20">
        <f t="shared" si="5"/>
        <v>1.3786764705882353E-2</v>
      </c>
      <c r="I20" s="20">
        <f t="shared" si="5"/>
        <v>1.0110294117647059E-2</v>
      </c>
      <c r="J20" s="12">
        <f t="shared" si="6"/>
        <v>0.21323529411764708</v>
      </c>
      <c r="K20" s="12"/>
      <c r="M20" s="8"/>
    </row>
    <row r="21" spans="1:22" s="7" customFormat="1" x14ac:dyDescent="0.25">
      <c r="A21" t="s">
        <v>62</v>
      </c>
      <c r="B21" s="20">
        <f t="shared" si="5"/>
        <v>1.838235294117647E-3</v>
      </c>
      <c r="C21" s="20">
        <f t="shared" si="5"/>
        <v>6.4338235294117644E-3</v>
      </c>
      <c r="D21" s="20">
        <f t="shared" si="5"/>
        <v>3.125E-2</v>
      </c>
      <c r="E21" s="20">
        <f t="shared" si="5"/>
        <v>2.0220588235294119E-2</v>
      </c>
      <c r="F21" s="20">
        <f t="shared" si="5"/>
        <v>6.4338235294117644E-3</v>
      </c>
      <c r="G21" s="20">
        <f t="shared" si="5"/>
        <v>1.1029411764705883E-2</v>
      </c>
      <c r="H21" s="20">
        <f t="shared" si="5"/>
        <v>7.3529411764705881E-3</v>
      </c>
      <c r="I21" s="20">
        <f t="shared" si="5"/>
        <v>9.1911764705882356E-3</v>
      </c>
      <c r="J21" s="12">
        <f t="shared" si="6"/>
        <v>9.375E-2</v>
      </c>
      <c r="K21" s="12"/>
      <c r="M21" s="8"/>
    </row>
    <row r="22" spans="1:22" s="7" customFormat="1" x14ac:dyDescent="0.25">
      <c r="A22" t="s">
        <v>63</v>
      </c>
      <c r="B22" s="20">
        <f t="shared" si="5"/>
        <v>2.7573529411764708E-3</v>
      </c>
      <c r="C22" s="20">
        <f t="shared" si="5"/>
        <v>1.7463235294117647E-2</v>
      </c>
      <c r="D22" s="20">
        <f t="shared" si="5"/>
        <v>5.5147058823529415E-3</v>
      </c>
      <c r="E22" s="20">
        <f t="shared" si="5"/>
        <v>5.5147058823529415E-3</v>
      </c>
      <c r="F22" s="20">
        <f t="shared" si="5"/>
        <v>2.7573529411764708E-3</v>
      </c>
      <c r="G22" s="20">
        <f t="shared" si="5"/>
        <v>3.6764705882352941E-3</v>
      </c>
      <c r="H22" s="20">
        <f t="shared" si="5"/>
        <v>7.3529411764705881E-3</v>
      </c>
      <c r="I22" s="20">
        <f t="shared" si="5"/>
        <v>3.6764705882352941E-3</v>
      </c>
      <c r="J22" s="12">
        <f t="shared" si="6"/>
        <v>4.8713235294117647E-2</v>
      </c>
      <c r="K22" s="12"/>
      <c r="M22" s="8"/>
    </row>
    <row r="23" spans="1:22" s="7" customFormat="1" x14ac:dyDescent="0.25">
      <c r="A23" t="s">
        <v>64</v>
      </c>
      <c r="B23" s="20">
        <f t="shared" si="5"/>
        <v>6.341911764705882E-2</v>
      </c>
      <c r="C23" s="20">
        <f t="shared" si="5"/>
        <v>0</v>
      </c>
      <c r="D23" s="20">
        <f t="shared" si="5"/>
        <v>2.7573529411764708E-3</v>
      </c>
      <c r="E23" s="20">
        <f t="shared" si="5"/>
        <v>5.5147058823529415E-3</v>
      </c>
      <c r="F23" s="20">
        <f t="shared" si="5"/>
        <v>2.7573529411764708E-3</v>
      </c>
      <c r="G23" s="20">
        <f t="shared" si="5"/>
        <v>4.5955882352941178E-3</v>
      </c>
      <c r="H23" s="20">
        <f t="shared" si="5"/>
        <v>4.5955882352941178E-3</v>
      </c>
      <c r="I23" s="20">
        <f t="shared" si="5"/>
        <v>1.1948529411764705E-2</v>
      </c>
      <c r="J23" s="12">
        <f t="shared" si="6"/>
        <v>9.5588235294117641E-2</v>
      </c>
      <c r="K23" s="12"/>
      <c r="M23" s="8"/>
    </row>
    <row r="24" spans="1:22" s="7" customFormat="1" x14ac:dyDescent="0.25">
      <c r="A24" s="5" t="s">
        <v>91</v>
      </c>
      <c r="B24" s="13">
        <f>SUM(B16:B23)</f>
        <v>8.8235294117647051E-2</v>
      </c>
      <c r="C24" s="13">
        <f t="shared" ref="C24:I24" si="7">SUM(C16:C23)</f>
        <v>5.6985294117647058E-2</v>
      </c>
      <c r="D24" s="13">
        <f t="shared" si="7"/>
        <v>0.10294117647058823</v>
      </c>
      <c r="E24" s="13">
        <f t="shared" si="7"/>
        <v>0.2408088235294118</v>
      </c>
      <c r="F24" s="13">
        <f t="shared" si="7"/>
        <v>0.18198529411764705</v>
      </c>
      <c r="G24" s="13">
        <f t="shared" si="7"/>
        <v>0.13419117647058823</v>
      </c>
      <c r="H24" s="13">
        <f t="shared" si="7"/>
        <v>9.9264705882352935E-2</v>
      </c>
      <c r="I24" s="13">
        <f t="shared" si="7"/>
        <v>9.5588235294117641E-2</v>
      </c>
      <c r="J24" s="19">
        <f>SUM(B24:I24)</f>
        <v>1</v>
      </c>
      <c r="K24" s="4"/>
      <c r="M24" s="8"/>
    </row>
    <row r="25" spans="1:22" s="7" customFormat="1" x14ac:dyDescent="0.25">
      <c r="A25" s="5" t="s">
        <v>88</v>
      </c>
      <c r="B25" s="6" t="s">
        <v>64</v>
      </c>
      <c r="C25" s="6" t="s">
        <v>63</v>
      </c>
      <c r="D25" s="6" t="s">
        <v>62</v>
      </c>
      <c r="E25" s="6" t="s">
        <v>60</v>
      </c>
      <c r="F25" s="6" t="s">
        <v>59</v>
      </c>
      <c r="G25" s="6" t="s">
        <v>57</v>
      </c>
      <c r="H25" s="6" t="s">
        <v>89</v>
      </c>
      <c r="I25" s="6" t="s">
        <v>55</v>
      </c>
      <c r="J25" s="4"/>
      <c r="K25" s="4"/>
      <c r="M25" s="8"/>
    </row>
    <row r="26" spans="1:22" s="7" customFormat="1" x14ac:dyDescent="0.25">
      <c r="A26" s="8"/>
      <c r="M26" s="8"/>
    </row>
    <row r="27" spans="1:22" ht="13.5" customHeight="1" x14ac:dyDescent="0.25">
      <c r="A27" s="8" t="s">
        <v>103</v>
      </c>
      <c r="B27" s="7"/>
      <c r="C27" s="7"/>
      <c r="D27" s="7"/>
      <c r="E27" s="7"/>
      <c r="F27" s="7"/>
      <c r="G27" s="8" t="s">
        <v>104</v>
      </c>
      <c r="H27" s="7"/>
      <c r="I27" s="7"/>
      <c r="J27" s="7"/>
      <c r="K27" s="7"/>
      <c r="M27" s="8"/>
      <c r="N27" s="7"/>
      <c r="O27" s="7"/>
      <c r="P27" s="7"/>
      <c r="Q27" s="7"/>
      <c r="R27" s="7"/>
      <c r="S27" s="7"/>
      <c r="T27" s="7"/>
      <c r="U27" s="7"/>
      <c r="V27" s="7"/>
    </row>
    <row r="28" spans="1:22" x14ac:dyDescent="0.25">
      <c r="A28" s="8" t="s">
        <v>67</v>
      </c>
      <c r="B28" s="7" t="s">
        <v>68</v>
      </c>
      <c r="C28" s="7" t="s">
        <v>69</v>
      </c>
      <c r="D28" s="7" t="s">
        <v>70</v>
      </c>
      <c r="E28" s="7" t="s">
        <v>69</v>
      </c>
      <c r="F28" s="7"/>
      <c r="G28" s="8" t="s">
        <v>102</v>
      </c>
      <c r="H28" s="7" t="s">
        <v>68</v>
      </c>
      <c r="I28" s="7" t="s">
        <v>69</v>
      </c>
      <c r="J28" s="7" t="s">
        <v>70</v>
      </c>
      <c r="K28" s="7" t="s">
        <v>69</v>
      </c>
      <c r="M28" s="8"/>
      <c r="N28" s="7"/>
      <c r="O28" s="7"/>
      <c r="P28" s="7"/>
      <c r="Q28" s="7"/>
      <c r="R28" s="7"/>
      <c r="S28" s="7"/>
      <c r="T28" s="7"/>
      <c r="U28" s="7"/>
      <c r="V28" s="7"/>
    </row>
    <row r="29" spans="1:22" x14ac:dyDescent="0.25">
      <c r="A29" t="s">
        <v>71</v>
      </c>
      <c r="B29">
        <f>J11</f>
        <v>1088</v>
      </c>
      <c r="C29" s="9">
        <f>B29/B29</f>
        <v>1</v>
      </c>
      <c r="D29">
        <v>64</v>
      </c>
      <c r="E29" s="9">
        <f>D29/D29</f>
        <v>1</v>
      </c>
      <c r="G29" t="s">
        <v>71</v>
      </c>
      <c r="H29">
        <f>J11</f>
        <v>1088</v>
      </c>
      <c r="I29" s="9">
        <f t="shared" ref="I29:I35" si="8">H29/$H$29</f>
        <v>1</v>
      </c>
      <c r="J29">
        <v>64</v>
      </c>
      <c r="K29" s="9">
        <f>J29/J29</f>
        <v>1</v>
      </c>
      <c r="O29" s="9"/>
      <c r="Q29" s="9"/>
      <c r="V29" s="7"/>
    </row>
    <row r="30" spans="1:22" x14ac:dyDescent="0.25">
      <c r="A30" t="s">
        <v>66</v>
      </c>
      <c r="B30">
        <f>B3+C3+B4</f>
        <v>25</v>
      </c>
      <c r="C30" s="11">
        <f t="shared" ref="C30:C35" si="9">B30/B$29</f>
        <v>2.297794117647059E-2</v>
      </c>
      <c r="D30">
        <v>3</v>
      </c>
      <c r="E30" s="9">
        <f t="shared" ref="E30:E35" si="10">D30/D$29</f>
        <v>4.6875E-2</v>
      </c>
      <c r="G30" t="s">
        <v>116</v>
      </c>
      <c r="H30">
        <f>B3</f>
        <v>15</v>
      </c>
      <c r="I30" s="9">
        <f t="shared" si="8"/>
        <v>1.3786764705882353E-2</v>
      </c>
      <c r="J30">
        <v>1</v>
      </c>
      <c r="K30" s="9">
        <f t="shared" ref="K30:K35" si="11">J30/J$29</f>
        <v>1.5625E-2</v>
      </c>
      <c r="O30" s="11"/>
      <c r="Q30" s="9"/>
      <c r="V30" s="7"/>
    </row>
    <row r="31" spans="1:22" x14ac:dyDescent="0.25">
      <c r="A31" t="s">
        <v>72</v>
      </c>
      <c r="B31">
        <f>B3+B4+C3+C4+C5+D4+D5+D6+E5+E6+E7+F6</f>
        <v>310</v>
      </c>
      <c r="C31" s="11">
        <f t="shared" si="9"/>
        <v>0.28492647058823528</v>
      </c>
      <c r="D31">
        <v>12</v>
      </c>
      <c r="E31" s="9">
        <f t="shared" si="10"/>
        <v>0.1875</v>
      </c>
      <c r="G31" t="s">
        <v>117</v>
      </c>
      <c r="H31">
        <f>B3+C4+D5+E6</f>
        <v>89</v>
      </c>
      <c r="I31" s="9">
        <f t="shared" si="8"/>
        <v>8.1801470588235295E-2</v>
      </c>
      <c r="J31">
        <v>4</v>
      </c>
      <c r="K31" s="9">
        <f t="shared" si="11"/>
        <v>6.25E-2</v>
      </c>
      <c r="O31" s="11"/>
      <c r="Q31" s="9"/>
      <c r="V31" s="7"/>
    </row>
    <row r="32" spans="1:22" x14ac:dyDescent="0.25">
      <c r="A32" t="s">
        <v>73</v>
      </c>
      <c r="B32">
        <f>SUM(B3:B7, C3:C7, D3:D7, E3:E7, F3:F6)</f>
        <v>493</v>
      </c>
      <c r="C32" s="11">
        <f t="shared" si="9"/>
        <v>0.453125</v>
      </c>
      <c r="D32">
        <v>24</v>
      </c>
      <c r="E32" s="9">
        <f t="shared" si="10"/>
        <v>0.375</v>
      </c>
      <c r="G32" t="s">
        <v>118</v>
      </c>
      <c r="H32">
        <f>SUM(B3:B6) + SUM(C3:C6) + SUM(D3:D6) + SUM(E3:E6)</f>
        <v>220</v>
      </c>
      <c r="I32" s="9">
        <f t="shared" si="8"/>
        <v>0.20220588235294118</v>
      </c>
      <c r="J32">
        <v>16</v>
      </c>
      <c r="K32" s="9">
        <f t="shared" si="11"/>
        <v>0.25</v>
      </c>
      <c r="O32" s="11"/>
      <c r="Q32" s="9"/>
      <c r="V32" s="7"/>
    </row>
    <row r="33" spans="1:22" x14ac:dyDescent="0.25">
      <c r="A33" t="s">
        <v>74</v>
      </c>
      <c r="B33">
        <f>SUM(B3:B10, C3:C9, D3:D8, E3:E7, F3:F6, G3:G5, H3:H4, I3)</f>
        <v>788</v>
      </c>
      <c r="C33" s="11">
        <f t="shared" si="9"/>
        <v>0.72426470588235292</v>
      </c>
      <c r="D33">
        <v>36</v>
      </c>
      <c r="E33" s="9">
        <f t="shared" si="10"/>
        <v>0.5625</v>
      </c>
      <c r="G33" t="s">
        <v>119</v>
      </c>
      <c r="H33">
        <f>SUM(B3:B9)+SUM(C3:C8)+SUM(D3:D7)+SUM(E3:E6)+SUM(F3:F5)+SUM(G3:G4)+H3</f>
        <v>395</v>
      </c>
      <c r="I33" s="9">
        <f t="shared" si="8"/>
        <v>0.36305147058823528</v>
      </c>
      <c r="J33">
        <v>28</v>
      </c>
      <c r="K33" s="9">
        <f t="shared" si="11"/>
        <v>0.4375</v>
      </c>
      <c r="O33" s="11"/>
      <c r="Q33" s="9"/>
      <c r="V33" s="7"/>
    </row>
    <row r="34" spans="1:22" x14ac:dyDescent="0.25">
      <c r="A34" t="s">
        <v>75</v>
      </c>
      <c r="B34">
        <f>SUM(B9:B10, C8:C10, D7:D9, E6:E8, F5:F7, G4:G6, H3:H5, I3:I4)</f>
        <v>678</v>
      </c>
      <c r="C34" s="11">
        <f t="shared" si="9"/>
        <v>0.62316176470588236</v>
      </c>
      <c r="D34">
        <v>22</v>
      </c>
      <c r="E34" s="9">
        <f t="shared" si="10"/>
        <v>0.34375</v>
      </c>
      <c r="G34" t="s">
        <v>120</v>
      </c>
      <c r="H34">
        <f>B10+C9+D8+E7+F6+G5+H4+I3</f>
        <v>393</v>
      </c>
      <c r="I34" s="22">
        <f t="shared" si="8"/>
        <v>0.36121323529411764</v>
      </c>
      <c r="J34">
        <v>8</v>
      </c>
      <c r="K34" s="9">
        <f t="shared" si="11"/>
        <v>0.125</v>
      </c>
      <c r="O34" s="11"/>
      <c r="Q34" s="9"/>
      <c r="V34" s="7"/>
    </row>
    <row r="35" spans="1:22" x14ac:dyDescent="0.25">
      <c r="A35" t="s">
        <v>76</v>
      </c>
      <c r="B35">
        <f>SUM(E6:E7, F6:F7)</f>
        <v>265</v>
      </c>
      <c r="C35" s="11">
        <f t="shared" si="9"/>
        <v>0.24356617647058823</v>
      </c>
      <c r="D35">
        <v>4</v>
      </c>
      <c r="E35" s="9">
        <f t="shared" si="10"/>
        <v>6.25E-2</v>
      </c>
      <c r="G35" t="s">
        <v>121</v>
      </c>
      <c r="H35">
        <f>E7+F6</f>
        <v>160</v>
      </c>
      <c r="I35" s="22">
        <f t="shared" si="8"/>
        <v>0.14705882352941177</v>
      </c>
      <c r="J35">
        <v>2</v>
      </c>
      <c r="K35" s="9">
        <f t="shared" si="11"/>
        <v>3.125E-2</v>
      </c>
      <c r="O35" s="11"/>
      <c r="Q35" s="9"/>
      <c r="V35" s="7"/>
    </row>
    <row r="36" spans="1:22" x14ac:dyDescent="0.25">
      <c r="C36" s="11"/>
      <c r="E36" s="9"/>
      <c r="I36" s="9"/>
      <c r="K36" s="9"/>
      <c r="O36" s="11"/>
      <c r="Q36" s="9"/>
      <c r="V36" s="7"/>
    </row>
    <row r="37" spans="1:22" x14ac:dyDescent="0.25">
      <c r="A37" t="s">
        <v>124</v>
      </c>
      <c r="B37">
        <f>B29-B35</f>
        <v>823</v>
      </c>
      <c r="C37" s="11">
        <v>1</v>
      </c>
      <c r="D37">
        <v>60</v>
      </c>
      <c r="E37" s="9">
        <v>1</v>
      </c>
      <c r="G37" t="s">
        <v>125</v>
      </c>
      <c r="H37">
        <f>H29-H35</f>
        <v>928</v>
      </c>
      <c r="I37" s="9">
        <v>1</v>
      </c>
      <c r="J37">
        <v>62</v>
      </c>
      <c r="K37" s="9">
        <v>1</v>
      </c>
      <c r="O37" s="11"/>
      <c r="Q37" s="9"/>
      <c r="V37" s="7"/>
    </row>
    <row r="38" spans="1:22" x14ac:dyDescent="0.25">
      <c r="A38" t="s">
        <v>80</v>
      </c>
      <c r="B38">
        <f>B34-B35</f>
        <v>413</v>
      </c>
      <c r="C38" s="11">
        <f>B38/B$37</f>
        <v>0.50182260024301339</v>
      </c>
      <c r="D38">
        <v>18</v>
      </c>
      <c r="E38" s="9">
        <f>D38/D$37</f>
        <v>0.3</v>
      </c>
      <c r="G38" t="s">
        <v>122</v>
      </c>
      <c r="H38">
        <f>H34-E7-F6</f>
        <v>233</v>
      </c>
      <c r="I38" s="9">
        <f>H38/$H$37</f>
        <v>0.25107758620689657</v>
      </c>
      <c r="J38">
        <v>6</v>
      </c>
      <c r="K38" s="9">
        <f>J38/J$37</f>
        <v>9.6774193548387094E-2</v>
      </c>
      <c r="O38" s="11"/>
      <c r="Q38" s="9"/>
      <c r="V38" s="7"/>
    </row>
    <row r="39" spans="1:22" x14ac:dyDescent="0.25">
      <c r="C39" s="10"/>
      <c r="E39" s="9"/>
      <c r="O39" s="11"/>
      <c r="Q39" s="9"/>
      <c r="V39" s="7"/>
    </row>
    <row r="40" spans="1:22" x14ac:dyDescent="0.25">
      <c r="A40" t="s">
        <v>81</v>
      </c>
      <c r="B40">
        <f>B29-B34</f>
        <v>410</v>
      </c>
      <c r="C40" s="10">
        <f>B40/B$40</f>
        <v>1</v>
      </c>
      <c r="D40">
        <v>42</v>
      </c>
      <c r="E40" s="9">
        <f>D40/D$40</f>
        <v>1</v>
      </c>
      <c r="K40" s="9"/>
      <c r="O40" s="10"/>
      <c r="Q40" s="9"/>
      <c r="V40" s="7"/>
    </row>
    <row r="41" spans="1:22" x14ac:dyDescent="0.25">
      <c r="A41" t="s">
        <v>82</v>
      </c>
      <c r="B41">
        <f>B30</f>
        <v>25</v>
      </c>
      <c r="C41" s="11">
        <f>B41/B$40</f>
        <v>6.097560975609756E-2</v>
      </c>
      <c r="D41">
        <v>3</v>
      </c>
      <c r="E41" s="9">
        <f>D41/D$40</f>
        <v>7.1428571428571425E-2</v>
      </c>
      <c r="K41" s="9"/>
      <c r="O41" s="10"/>
      <c r="Q41" s="9"/>
      <c r="V41" s="7"/>
    </row>
    <row r="42" spans="1:22" x14ac:dyDescent="0.25">
      <c r="A42" t="s">
        <v>77</v>
      </c>
      <c r="B42">
        <f>B31-(SUM(E6:E7,F6))</f>
        <v>92</v>
      </c>
      <c r="C42" s="11">
        <f>B42/B$40</f>
        <v>0.22439024390243903</v>
      </c>
      <c r="D42">
        <v>9</v>
      </c>
      <c r="E42" s="9">
        <f>D42/D$40</f>
        <v>0.21428571428571427</v>
      </c>
      <c r="I42" s="9"/>
      <c r="K42" s="9"/>
      <c r="O42" s="11"/>
      <c r="Q42" s="9"/>
      <c r="V42" s="7"/>
    </row>
    <row r="43" spans="1:22" x14ac:dyDescent="0.25">
      <c r="A43" t="s">
        <v>78</v>
      </c>
      <c r="B43">
        <f>$B$32-SUM($D$7, $E$6:E$7, $F$5:$F$6)</f>
        <v>220</v>
      </c>
      <c r="C43" s="11">
        <f>B43/B$40</f>
        <v>0.53658536585365857</v>
      </c>
      <c r="D43">
        <v>19</v>
      </c>
      <c r="E43" s="9">
        <f>D43/D$40</f>
        <v>0.45238095238095238</v>
      </c>
      <c r="K43" s="9"/>
      <c r="O43" s="11"/>
      <c r="Q43" s="9"/>
      <c r="V43" s="7"/>
    </row>
    <row r="44" spans="1:22" x14ac:dyDescent="0.25">
      <c r="A44" t="s">
        <v>79</v>
      </c>
      <c r="B44">
        <f>B$33-SUM(B$9:B$10, C$8:C$9, D$7:D$8, E$6:E$7, F$5:F$6, G$4:G$5, H$3:H$4, I$3)</f>
        <v>237</v>
      </c>
      <c r="C44" s="11">
        <f>B44/B$40</f>
        <v>0.57804878048780484</v>
      </c>
      <c r="D44">
        <v>21</v>
      </c>
      <c r="E44" s="9">
        <f>D44/D$40</f>
        <v>0.5</v>
      </c>
      <c r="K44" s="9"/>
      <c r="O44" s="11"/>
      <c r="Q44" s="9"/>
      <c r="V44" s="7"/>
    </row>
    <row r="45" spans="1:22" x14ac:dyDescent="0.25">
      <c r="C45" s="11"/>
      <c r="E45" s="9"/>
      <c r="J45" s="7"/>
      <c r="K45" s="7"/>
      <c r="O45" s="11"/>
      <c r="Q45" s="9"/>
      <c r="V45" s="7"/>
    </row>
    <row r="49" spans="8:13" x14ac:dyDescent="0.25">
      <c r="H49" s="8"/>
      <c r="I49" s="7"/>
      <c r="J49" s="7"/>
      <c r="K49" s="7"/>
      <c r="L49" s="7"/>
      <c r="M49" s="7"/>
    </row>
    <row r="50" spans="8:13" x14ac:dyDescent="0.25">
      <c r="J50" s="9"/>
      <c r="K50" s="9"/>
      <c r="M50" s="9"/>
    </row>
    <row r="51" spans="8:13" x14ac:dyDescent="0.25">
      <c r="J51" s="9"/>
      <c r="K51" s="9"/>
      <c r="M51" s="9"/>
    </row>
    <row r="52" spans="8:13" x14ac:dyDescent="0.25">
      <c r="J52" s="9"/>
      <c r="K52" s="9"/>
      <c r="M52" s="9"/>
    </row>
    <row r="53" spans="8:13" x14ac:dyDescent="0.25">
      <c r="J53" s="9"/>
      <c r="K53" s="9"/>
      <c r="M53" s="9"/>
    </row>
    <row r="54" spans="8:13" x14ac:dyDescent="0.25">
      <c r="J54" s="9"/>
      <c r="K54" s="9"/>
      <c r="M54" s="9"/>
    </row>
    <row r="55" spans="8:13" x14ac:dyDescent="0.25">
      <c r="J55" s="9"/>
      <c r="K55" s="9"/>
      <c r="M55" s="9"/>
    </row>
    <row r="56" spans="8:13" x14ac:dyDescent="0.25">
      <c r="J56" s="9"/>
      <c r="K56" s="9"/>
      <c r="M56" s="9"/>
    </row>
    <row r="57" spans="8:13" x14ac:dyDescent="0.25">
      <c r="J57" s="9"/>
      <c r="K57" s="9"/>
      <c r="M57" s="9"/>
    </row>
    <row r="58" spans="8:13" x14ac:dyDescent="0.25">
      <c r="J58" s="9"/>
      <c r="K58" s="9"/>
      <c r="M58" s="9"/>
    </row>
    <row r="59" spans="8:13" x14ac:dyDescent="0.25">
      <c r="J59" s="9"/>
      <c r="K59" s="9"/>
      <c r="M59" s="9"/>
    </row>
    <row r="60" spans="8:13" x14ac:dyDescent="0.25">
      <c r="J60" s="9"/>
      <c r="K60" s="9"/>
      <c r="M60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6"/>
  <sheetViews>
    <sheetView topLeftCell="C3" workbookViewId="0">
      <selection activeCell="O11" sqref="O11"/>
    </sheetView>
  </sheetViews>
  <sheetFormatPr defaultColWidth="8.7109375" defaultRowHeight="15" x14ac:dyDescent="0.25"/>
  <cols>
    <col min="1" max="11" width="8.7109375" customWidth="1"/>
    <col min="12" max="12" width="9.140625" style="7" customWidth="1"/>
  </cols>
  <sheetData>
    <row r="1" spans="1:39" x14ac:dyDescent="0.25">
      <c r="A1" s="1" t="s">
        <v>84</v>
      </c>
      <c r="J1" s="4" t="s">
        <v>58</v>
      </c>
      <c r="K1" s="4" t="s">
        <v>90</v>
      </c>
      <c r="M1" s="8"/>
      <c r="N1" s="7"/>
      <c r="O1" s="7"/>
      <c r="P1" s="7"/>
      <c r="Q1" s="7"/>
      <c r="R1" s="7"/>
      <c r="S1" s="7"/>
      <c r="T1" s="7"/>
      <c r="U1" s="7"/>
      <c r="V1" s="7"/>
      <c r="W1" s="7"/>
      <c r="X1" s="81"/>
      <c r="Y1" s="82"/>
      <c r="Z1" s="82"/>
      <c r="AA1" s="82"/>
      <c r="AB1" s="82"/>
      <c r="AC1" s="82"/>
      <c r="AD1" s="82"/>
      <c r="AE1" s="82"/>
      <c r="AF1" s="82"/>
      <c r="AG1" s="82"/>
      <c r="AH1" s="83"/>
      <c r="AI1" s="83"/>
      <c r="AJ1" s="83"/>
      <c r="AK1" s="83"/>
      <c r="AL1" s="83"/>
      <c r="AM1" s="7"/>
    </row>
    <row r="2" spans="1:39" x14ac:dyDescent="0.25">
      <c r="A2" s="1" t="s">
        <v>61</v>
      </c>
      <c r="J2" s="4"/>
      <c r="K2" s="4"/>
      <c r="M2" s="8"/>
      <c r="N2" s="7"/>
      <c r="O2" s="7"/>
      <c r="P2" s="7"/>
      <c r="Q2" s="7"/>
      <c r="R2" s="7"/>
      <c r="S2" s="7"/>
      <c r="T2" s="7"/>
      <c r="U2" s="7"/>
      <c r="V2" s="7"/>
      <c r="W2" s="7"/>
      <c r="X2" s="81"/>
      <c r="Y2" s="82"/>
      <c r="Z2" s="82"/>
      <c r="AA2" s="82"/>
      <c r="AB2" s="82"/>
      <c r="AC2" s="82"/>
      <c r="AD2" s="82"/>
      <c r="AE2" s="82"/>
      <c r="AF2" s="82"/>
      <c r="AG2" s="82"/>
      <c r="AH2" s="83"/>
      <c r="AI2" s="83"/>
      <c r="AJ2" s="86"/>
      <c r="AK2" s="86"/>
      <c r="AL2" s="86"/>
      <c r="AM2" s="7"/>
    </row>
    <row r="3" spans="1:39" x14ac:dyDescent="0.25">
      <c r="A3" s="2" t="s">
        <v>55</v>
      </c>
      <c r="B3">
        <v>1</v>
      </c>
      <c r="C3">
        <v>3</v>
      </c>
      <c r="D3">
        <v>1</v>
      </c>
      <c r="E3">
        <v>5</v>
      </c>
      <c r="F3">
        <v>2</v>
      </c>
      <c r="G3">
        <v>4</v>
      </c>
      <c r="H3">
        <v>0</v>
      </c>
      <c r="I3">
        <v>1</v>
      </c>
      <c r="J3" s="4">
        <f>SUM(B3:I3)</f>
        <v>17</v>
      </c>
      <c r="K3" s="12">
        <f>J3/J$11</f>
        <v>5.5921052631578948E-2</v>
      </c>
      <c r="L3" s="14"/>
      <c r="M3" s="87"/>
      <c r="N3" s="7"/>
      <c r="O3" s="7"/>
      <c r="P3" s="7"/>
      <c r="Q3" s="7"/>
      <c r="R3" s="7"/>
      <c r="S3" s="7"/>
      <c r="T3" s="7"/>
      <c r="U3" s="7"/>
      <c r="V3" s="7"/>
      <c r="W3" s="7"/>
      <c r="X3" s="84"/>
      <c r="Y3" s="82"/>
      <c r="Z3" s="82"/>
      <c r="AA3" s="82"/>
      <c r="AB3" s="82"/>
      <c r="AC3" s="82"/>
      <c r="AD3" s="82"/>
      <c r="AE3" s="82"/>
      <c r="AF3" s="82"/>
      <c r="AG3" s="82"/>
      <c r="AH3" s="83"/>
      <c r="AI3" s="83"/>
      <c r="AJ3" s="86"/>
      <c r="AK3" s="86"/>
      <c r="AL3" s="86"/>
      <c r="AM3" s="7"/>
    </row>
    <row r="4" spans="1:39" x14ac:dyDescent="0.25">
      <c r="A4" s="3" t="s">
        <v>56</v>
      </c>
      <c r="B4">
        <v>0</v>
      </c>
      <c r="C4">
        <v>1</v>
      </c>
      <c r="D4">
        <v>6</v>
      </c>
      <c r="E4">
        <v>2</v>
      </c>
      <c r="F4">
        <v>4</v>
      </c>
      <c r="G4">
        <v>1</v>
      </c>
      <c r="H4">
        <v>2</v>
      </c>
      <c r="I4">
        <v>0</v>
      </c>
      <c r="J4" s="4">
        <f t="shared" ref="J4:J10" si="0">SUM(B4:I4)</f>
        <v>16</v>
      </c>
      <c r="K4" s="12">
        <f t="shared" ref="K4:K10" si="1">J4/J$11</f>
        <v>5.2631578947368418E-2</v>
      </c>
      <c r="L4" s="14"/>
      <c r="M4" s="88"/>
      <c r="N4" s="7"/>
      <c r="O4" s="7"/>
      <c r="P4" s="7"/>
      <c r="Q4" s="7"/>
      <c r="R4" s="7"/>
      <c r="S4" s="7"/>
      <c r="T4" s="7"/>
      <c r="U4" s="7"/>
      <c r="V4" s="7"/>
      <c r="W4" s="7"/>
      <c r="X4" s="85"/>
      <c r="Y4" s="82"/>
      <c r="Z4" s="82"/>
      <c r="AA4" s="82"/>
      <c r="AB4" s="82"/>
      <c r="AC4" s="82"/>
      <c r="AD4" s="82"/>
      <c r="AE4" s="82"/>
      <c r="AF4" s="82"/>
      <c r="AG4" s="82"/>
      <c r="AH4" s="83"/>
      <c r="AI4" s="83"/>
      <c r="AJ4" s="86"/>
      <c r="AK4" s="86"/>
      <c r="AL4" s="86"/>
      <c r="AM4" s="7"/>
    </row>
    <row r="5" spans="1:39" x14ac:dyDescent="0.25">
      <c r="A5" t="s">
        <v>57</v>
      </c>
      <c r="B5">
        <v>0</v>
      </c>
      <c r="C5">
        <v>0</v>
      </c>
      <c r="D5">
        <v>8</v>
      </c>
      <c r="E5">
        <v>15</v>
      </c>
      <c r="F5">
        <v>8</v>
      </c>
      <c r="G5">
        <v>5</v>
      </c>
      <c r="H5">
        <v>2</v>
      </c>
      <c r="I5">
        <v>0</v>
      </c>
      <c r="J5" s="4">
        <f t="shared" si="0"/>
        <v>38</v>
      </c>
      <c r="K5" s="12">
        <f t="shared" si="1"/>
        <v>0.125</v>
      </c>
      <c r="L5" s="14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3"/>
      <c r="AI5" s="83"/>
      <c r="AJ5" s="86"/>
      <c r="AK5" s="86"/>
      <c r="AL5" s="86"/>
      <c r="AM5" s="7"/>
    </row>
    <row r="6" spans="1:39" x14ac:dyDescent="0.25">
      <c r="A6" t="s">
        <v>59</v>
      </c>
      <c r="B6">
        <v>0</v>
      </c>
      <c r="C6">
        <v>0</v>
      </c>
      <c r="D6">
        <v>13</v>
      </c>
      <c r="E6">
        <v>28</v>
      </c>
      <c r="F6">
        <v>21</v>
      </c>
      <c r="G6">
        <v>3</v>
      </c>
      <c r="H6">
        <v>1</v>
      </c>
      <c r="I6">
        <v>0</v>
      </c>
      <c r="J6" s="4">
        <f t="shared" si="0"/>
        <v>66</v>
      </c>
      <c r="K6" s="12">
        <f t="shared" si="1"/>
        <v>0.21710526315789475</v>
      </c>
      <c r="L6" s="1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3"/>
      <c r="AI6" s="83"/>
      <c r="AJ6" s="86"/>
      <c r="AK6" s="86"/>
      <c r="AL6" s="86"/>
      <c r="AM6" s="7"/>
    </row>
    <row r="7" spans="1:39" x14ac:dyDescent="0.25">
      <c r="A7" t="s">
        <v>60</v>
      </c>
      <c r="B7">
        <v>0</v>
      </c>
      <c r="C7">
        <v>1</v>
      </c>
      <c r="D7">
        <v>22</v>
      </c>
      <c r="E7">
        <v>49</v>
      </c>
      <c r="F7">
        <v>22</v>
      </c>
      <c r="G7">
        <v>2</v>
      </c>
      <c r="H7">
        <v>0</v>
      </c>
      <c r="I7">
        <v>1</v>
      </c>
      <c r="J7" s="4">
        <f t="shared" si="0"/>
        <v>97</v>
      </c>
      <c r="K7" s="12">
        <f t="shared" si="1"/>
        <v>0.31907894736842107</v>
      </c>
      <c r="L7" s="14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3"/>
      <c r="AI7" s="83"/>
      <c r="AJ7" s="86"/>
      <c r="AK7" s="86"/>
      <c r="AL7" s="86"/>
      <c r="AM7" s="7"/>
    </row>
    <row r="8" spans="1:39" x14ac:dyDescent="0.25">
      <c r="A8" t="s">
        <v>62</v>
      </c>
      <c r="B8">
        <v>0</v>
      </c>
      <c r="C8">
        <v>4</v>
      </c>
      <c r="D8">
        <v>21</v>
      </c>
      <c r="E8">
        <v>8</v>
      </c>
      <c r="F8">
        <v>6</v>
      </c>
      <c r="G8">
        <v>2</v>
      </c>
      <c r="H8">
        <v>0</v>
      </c>
      <c r="I8">
        <v>0</v>
      </c>
      <c r="J8" s="4">
        <f t="shared" si="0"/>
        <v>41</v>
      </c>
      <c r="K8" s="12">
        <f t="shared" si="1"/>
        <v>0.13486842105263158</v>
      </c>
      <c r="L8" s="14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3"/>
      <c r="AI8" s="83"/>
      <c r="AJ8" s="83"/>
      <c r="AK8" s="83"/>
      <c r="AL8" s="83"/>
      <c r="AM8" s="7"/>
    </row>
    <row r="9" spans="1:39" x14ac:dyDescent="0.25">
      <c r="A9" t="s">
        <v>63</v>
      </c>
      <c r="B9">
        <v>0</v>
      </c>
      <c r="C9">
        <v>1</v>
      </c>
      <c r="D9">
        <v>11</v>
      </c>
      <c r="E9">
        <v>10</v>
      </c>
      <c r="F9">
        <v>0</v>
      </c>
      <c r="G9">
        <v>0</v>
      </c>
      <c r="H9">
        <v>0</v>
      </c>
      <c r="I9">
        <v>0</v>
      </c>
      <c r="J9" s="4">
        <f t="shared" si="0"/>
        <v>22</v>
      </c>
      <c r="K9" s="12">
        <f t="shared" si="1"/>
        <v>7.2368421052631582E-2</v>
      </c>
      <c r="L9" s="14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3"/>
      <c r="AI9" s="83"/>
      <c r="AJ9" s="83"/>
      <c r="AK9" s="83"/>
      <c r="AL9" s="83"/>
      <c r="AM9" s="7"/>
    </row>
    <row r="10" spans="1:39" x14ac:dyDescent="0.25">
      <c r="A10" t="s">
        <v>64</v>
      </c>
      <c r="B10">
        <v>0</v>
      </c>
      <c r="C10">
        <v>0</v>
      </c>
      <c r="D10">
        <v>1</v>
      </c>
      <c r="E10">
        <v>0</v>
      </c>
      <c r="F10">
        <v>2</v>
      </c>
      <c r="G10">
        <v>0</v>
      </c>
      <c r="H10">
        <v>1</v>
      </c>
      <c r="I10">
        <v>3</v>
      </c>
      <c r="J10" s="4">
        <f t="shared" si="0"/>
        <v>7</v>
      </c>
      <c r="K10" s="12">
        <f t="shared" si="1"/>
        <v>2.3026315789473683E-2</v>
      </c>
      <c r="L10" s="14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3"/>
      <c r="AI10" s="83"/>
      <c r="AJ10" s="83"/>
      <c r="AK10" s="83"/>
      <c r="AL10" s="83"/>
      <c r="AM10" s="7"/>
    </row>
    <row r="11" spans="1:39" x14ac:dyDescent="0.25">
      <c r="A11" s="5" t="s">
        <v>65</v>
      </c>
      <c r="B11" s="6">
        <f>SUM(B3:B10)</f>
        <v>1</v>
      </c>
      <c r="C11" s="6">
        <f t="shared" ref="C11:I11" si="2">SUM(C3:C10)</f>
        <v>10</v>
      </c>
      <c r="D11" s="6">
        <f t="shared" si="2"/>
        <v>83</v>
      </c>
      <c r="E11" s="6">
        <f t="shared" si="2"/>
        <v>117</v>
      </c>
      <c r="F11" s="6">
        <f t="shared" si="2"/>
        <v>65</v>
      </c>
      <c r="G11" s="6">
        <f t="shared" si="2"/>
        <v>17</v>
      </c>
      <c r="H11" s="6">
        <f t="shared" si="2"/>
        <v>6</v>
      </c>
      <c r="I11" s="6">
        <f t="shared" si="2"/>
        <v>5</v>
      </c>
      <c r="J11" s="4">
        <f>SUM(J3:J10)</f>
        <v>304</v>
      </c>
      <c r="K11" s="4"/>
      <c r="M11" s="8"/>
      <c r="N11" s="7"/>
      <c r="O11" s="7"/>
      <c r="P11" s="7"/>
      <c r="Q11" s="7"/>
      <c r="R11" s="7"/>
      <c r="S11" s="7"/>
      <c r="T11" s="7"/>
      <c r="U11" s="7"/>
      <c r="V11" s="7"/>
      <c r="W11" s="7"/>
      <c r="X11" s="81"/>
      <c r="Y11" s="82"/>
      <c r="Z11" s="82"/>
      <c r="AA11" s="82"/>
      <c r="AB11" s="82"/>
      <c r="AC11" s="82"/>
      <c r="AD11" s="82"/>
      <c r="AE11" s="82"/>
      <c r="AF11" s="82"/>
      <c r="AG11" s="82"/>
      <c r="AH11" s="83"/>
      <c r="AI11" s="83"/>
      <c r="AJ11" s="83"/>
      <c r="AK11" s="83"/>
      <c r="AL11" s="83"/>
      <c r="AM11" s="7"/>
    </row>
    <row r="12" spans="1:39" x14ac:dyDescent="0.25">
      <c r="A12" s="5" t="s">
        <v>91</v>
      </c>
      <c r="B12" s="13">
        <f>B11/$J$11</f>
        <v>3.2894736842105261E-3</v>
      </c>
      <c r="C12" s="13">
        <f t="shared" ref="C12:I12" si="3">C11/$J$11</f>
        <v>3.2894736842105261E-2</v>
      </c>
      <c r="D12" s="13">
        <f t="shared" si="3"/>
        <v>0.27302631578947367</v>
      </c>
      <c r="E12" s="13">
        <f t="shared" si="3"/>
        <v>0.38486842105263158</v>
      </c>
      <c r="F12" s="13">
        <f t="shared" si="3"/>
        <v>0.21381578947368421</v>
      </c>
      <c r="G12" s="13">
        <f t="shared" si="3"/>
        <v>5.5921052631578948E-2</v>
      </c>
      <c r="H12" s="13">
        <f t="shared" si="3"/>
        <v>1.9736842105263157E-2</v>
      </c>
      <c r="I12" s="13">
        <f t="shared" si="3"/>
        <v>1.6447368421052631E-2</v>
      </c>
      <c r="J12" s="19">
        <f>SUM(B12:I12)</f>
        <v>1</v>
      </c>
      <c r="K12" s="4"/>
      <c r="M12" s="7"/>
      <c r="N12" s="8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x14ac:dyDescent="0.25">
      <c r="A13" s="5" t="s">
        <v>88</v>
      </c>
      <c r="B13" s="6" t="s">
        <v>64</v>
      </c>
      <c r="C13" s="6" t="s">
        <v>63</v>
      </c>
      <c r="D13" s="6" t="s">
        <v>62</v>
      </c>
      <c r="E13" s="6" t="s">
        <v>60</v>
      </c>
      <c r="F13" s="6" t="s">
        <v>59</v>
      </c>
      <c r="G13" s="6" t="s">
        <v>57</v>
      </c>
      <c r="H13" s="6" t="s">
        <v>89</v>
      </c>
      <c r="I13" s="6" t="s">
        <v>55</v>
      </c>
      <c r="J13" s="4"/>
      <c r="K13" s="4"/>
      <c r="L13"/>
      <c r="M13" s="8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39" s="7" customFormat="1" x14ac:dyDescent="0.25">
      <c r="A14" s="8" t="s">
        <v>108</v>
      </c>
      <c r="M14" s="8"/>
    </row>
    <row r="15" spans="1:39" s="7" customFormat="1" x14ac:dyDescent="0.25">
      <c r="A15" s="1" t="s">
        <v>61</v>
      </c>
      <c r="B15"/>
      <c r="C15"/>
      <c r="D15"/>
      <c r="E15"/>
      <c r="F15"/>
      <c r="G15"/>
      <c r="H15"/>
      <c r="I15"/>
      <c r="J15" s="4"/>
      <c r="K15" s="4"/>
      <c r="M15" s="8"/>
    </row>
    <row r="16" spans="1:39" s="7" customFormat="1" x14ac:dyDescent="0.25">
      <c r="A16" s="2" t="s">
        <v>55</v>
      </c>
      <c r="B16" s="28">
        <f t="shared" ref="B16:I16" si="4">B3/$J$11</f>
        <v>3.2894736842105261E-3</v>
      </c>
      <c r="C16" s="20">
        <f t="shared" si="4"/>
        <v>9.8684210526315784E-3</v>
      </c>
      <c r="D16" s="20">
        <f t="shared" si="4"/>
        <v>3.2894736842105261E-3</v>
      </c>
      <c r="E16" s="20">
        <f t="shared" si="4"/>
        <v>1.6447368421052631E-2</v>
      </c>
      <c r="F16" s="20">
        <f t="shared" si="4"/>
        <v>6.5789473684210523E-3</v>
      </c>
      <c r="G16" s="20">
        <f t="shared" si="4"/>
        <v>1.3157894736842105E-2</v>
      </c>
      <c r="H16" s="20">
        <f t="shared" si="4"/>
        <v>0</v>
      </c>
      <c r="I16" s="20">
        <f t="shared" si="4"/>
        <v>3.2894736842105261E-3</v>
      </c>
      <c r="J16" s="12">
        <f>SUM(B16:I16)</f>
        <v>5.5921052631578941E-2</v>
      </c>
      <c r="K16" s="12"/>
      <c r="M16" s="87"/>
      <c r="N16" s="89"/>
      <c r="O16" s="89"/>
      <c r="P16" s="89"/>
      <c r="Q16" s="89"/>
      <c r="R16" s="89"/>
      <c r="S16" s="89"/>
      <c r="T16" s="89"/>
      <c r="U16" s="89"/>
      <c r="V16" s="14"/>
      <c r="W16" s="14"/>
      <c r="X16" s="90"/>
      <c r="AD16" s="90"/>
    </row>
    <row r="17" spans="1:33" s="7" customFormat="1" x14ac:dyDescent="0.25">
      <c r="A17" s="3" t="s">
        <v>56</v>
      </c>
      <c r="B17" s="20">
        <f t="shared" ref="B17:I23" si="5">B4/$J$11</f>
        <v>0</v>
      </c>
      <c r="C17" s="20">
        <f t="shared" si="5"/>
        <v>3.2894736842105261E-3</v>
      </c>
      <c r="D17" s="20">
        <f t="shared" si="5"/>
        <v>1.9736842105263157E-2</v>
      </c>
      <c r="E17" s="20">
        <f t="shared" si="5"/>
        <v>6.5789473684210523E-3</v>
      </c>
      <c r="F17" s="20">
        <f t="shared" si="5"/>
        <v>1.3157894736842105E-2</v>
      </c>
      <c r="G17" s="20">
        <f t="shared" si="5"/>
        <v>3.2894736842105261E-3</v>
      </c>
      <c r="H17" s="20">
        <f t="shared" si="5"/>
        <v>6.5789473684210523E-3</v>
      </c>
      <c r="I17" s="20">
        <f t="shared" si="5"/>
        <v>0</v>
      </c>
      <c r="J17" s="12">
        <f t="shared" ref="J17:J23" si="6">SUM(B17:I17)</f>
        <v>5.2631578947368411E-2</v>
      </c>
      <c r="K17" s="12"/>
      <c r="M17" s="88"/>
      <c r="N17" s="89"/>
      <c r="O17" s="89"/>
      <c r="P17" s="89"/>
      <c r="Q17" s="89"/>
      <c r="R17" s="89"/>
      <c r="S17" s="89"/>
      <c r="T17" s="89"/>
      <c r="U17" s="89"/>
      <c r="V17" s="14"/>
      <c r="W17" s="14"/>
      <c r="Y17" s="91"/>
      <c r="Z17" s="91"/>
      <c r="AA17" s="91"/>
      <c r="AE17" s="91"/>
      <c r="AF17" s="91"/>
      <c r="AG17" s="91"/>
    </row>
    <row r="18" spans="1:33" s="7" customFormat="1" x14ac:dyDescent="0.25">
      <c r="A18" t="s">
        <v>57</v>
      </c>
      <c r="B18" s="20">
        <f t="shared" si="5"/>
        <v>0</v>
      </c>
      <c r="C18" s="20">
        <f t="shared" si="5"/>
        <v>0</v>
      </c>
      <c r="D18" s="20">
        <f t="shared" si="5"/>
        <v>2.6315789473684209E-2</v>
      </c>
      <c r="E18" s="20">
        <f t="shared" si="5"/>
        <v>4.9342105263157895E-2</v>
      </c>
      <c r="F18" s="20">
        <f t="shared" si="5"/>
        <v>2.6315789473684209E-2</v>
      </c>
      <c r="G18" s="20">
        <f t="shared" si="5"/>
        <v>1.6447368421052631E-2</v>
      </c>
      <c r="H18" s="20">
        <f t="shared" si="5"/>
        <v>6.5789473684210523E-3</v>
      </c>
      <c r="I18" s="20">
        <f t="shared" si="5"/>
        <v>0</v>
      </c>
      <c r="J18" s="12">
        <f t="shared" si="6"/>
        <v>0.125</v>
      </c>
      <c r="K18" s="12"/>
      <c r="N18" s="89"/>
      <c r="O18" s="89"/>
      <c r="P18" s="89"/>
      <c r="Q18" s="89"/>
      <c r="R18" s="89"/>
      <c r="S18" s="89"/>
      <c r="T18" s="89"/>
      <c r="U18" s="89"/>
      <c r="V18" s="14"/>
      <c r="W18" s="14"/>
      <c r="Y18" s="91"/>
      <c r="Z18" s="91"/>
      <c r="AA18" s="91"/>
      <c r="AE18" s="91"/>
      <c r="AF18" s="91"/>
      <c r="AG18" s="91"/>
    </row>
    <row r="19" spans="1:33" s="7" customFormat="1" x14ac:dyDescent="0.25">
      <c r="A19" t="s">
        <v>59</v>
      </c>
      <c r="B19" s="20">
        <f t="shared" si="5"/>
        <v>0</v>
      </c>
      <c r="C19" s="20">
        <f t="shared" si="5"/>
        <v>0</v>
      </c>
      <c r="D19" s="20">
        <f t="shared" si="5"/>
        <v>4.2763157894736843E-2</v>
      </c>
      <c r="E19" s="20">
        <f t="shared" si="5"/>
        <v>9.2105263157894732E-2</v>
      </c>
      <c r="F19" s="20">
        <f t="shared" si="5"/>
        <v>6.9078947368421059E-2</v>
      </c>
      <c r="G19" s="20">
        <f t="shared" si="5"/>
        <v>9.8684210526315784E-3</v>
      </c>
      <c r="H19" s="20">
        <f t="shared" si="5"/>
        <v>3.2894736842105261E-3</v>
      </c>
      <c r="I19" s="20">
        <f t="shared" si="5"/>
        <v>0</v>
      </c>
      <c r="J19" s="12">
        <f t="shared" si="6"/>
        <v>0.21710526315789477</v>
      </c>
      <c r="K19" s="12"/>
      <c r="N19" s="89"/>
      <c r="O19" s="89"/>
      <c r="P19" s="89"/>
      <c r="Q19" s="89"/>
      <c r="R19" s="89"/>
      <c r="S19" s="89"/>
      <c r="T19" s="89"/>
      <c r="U19" s="89"/>
      <c r="V19" s="14"/>
      <c r="W19" s="14"/>
      <c r="Y19" s="91"/>
      <c r="Z19" s="91"/>
      <c r="AA19" s="91"/>
      <c r="AE19" s="91"/>
      <c r="AF19" s="91"/>
      <c r="AG19" s="91"/>
    </row>
    <row r="20" spans="1:33" s="7" customFormat="1" x14ac:dyDescent="0.25">
      <c r="A20" t="s">
        <v>60</v>
      </c>
      <c r="B20" s="20">
        <f t="shared" si="5"/>
        <v>0</v>
      </c>
      <c r="C20" s="20">
        <f t="shared" si="5"/>
        <v>3.2894736842105261E-3</v>
      </c>
      <c r="D20" s="20">
        <f t="shared" si="5"/>
        <v>7.2368421052631582E-2</v>
      </c>
      <c r="E20" s="20">
        <f t="shared" si="5"/>
        <v>0.16118421052631579</v>
      </c>
      <c r="F20" s="20">
        <f t="shared" si="5"/>
        <v>7.2368421052631582E-2</v>
      </c>
      <c r="G20" s="20">
        <f t="shared" si="5"/>
        <v>6.5789473684210523E-3</v>
      </c>
      <c r="H20" s="20">
        <f t="shared" si="5"/>
        <v>0</v>
      </c>
      <c r="I20" s="20">
        <f t="shared" si="5"/>
        <v>3.2894736842105261E-3</v>
      </c>
      <c r="J20" s="12">
        <f t="shared" si="6"/>
        <v>0.31907894736842107</v>
      </c>
      <c r="K20" s="12"/>
      <c r="N20" s="89"/>
      <c r="O20" s="89"/>
      <c r="P20" s="89"/>
      <c r="Q20" s="89"/>
      <c r="R20" s="89"/>
      <c r="S20" s="89"/>
      <c r="T20" s="89"/>
      <c r="U20" s="89"/>
      <c r="V20" s="14"/>
      <c r="W20" s="14"/>
      <c r="Y20" s="91"/>
      <c r="Z20" s="91"/>
      <c r="AA20" s="91"/>
      <c r="AE20" s="91"/>
      <c r="AF20" s="91"/>
      <c r="AG20" s="91"/>
    </row>
    <row r="21" spans="1:33" s="7" customFormat="1" x14ac:dyDescent="0.25">
      <c r="A21" t="s">
        <v>62</v>
      </c>
      <c r="B21" s="20">
        <f t="shared" si="5"/>
        <v>0</v>
      </c>
      <c r="C21" s="20">
        <f t="shared" si="5"/>
        <v>1.3157894736842105E-2</v>
      </c>
      <c r="D21" s="20">
        <f t="shared" si="5"/>
        <v>6.9078947368421059E-2</v>
      </c>
      <c r="E21" s="20">
        <f t="shared" si="5"/>
        <v>2.6315789473684209E-2</v>
      </c>
      <c r="F21" s="20">
        <f t="shared" si="5"/>
        <v>1.9736842105263157E-2</v>
      </c>
      <c r="G21" s="20">
        <f t="shared" si="5"/>
        <v>6.5789473684210523E-3</v>
      </c>
      <c r="H21" s="20">
        <f t="shared" si="5"/>
        <v>0</v>
      </c>
      <c r="I21" s="20">
        <f t="shared" si="5"/>
        <v>0</v>
      </c>
      <c r="J21" s="12">
        <f t="shared" si="6"/>
        <v>0.13486842105263158</v>
      </c>
      <c r="K21" s="12"/>
      <c r="N21" s="89"/>
      <c r="O21" s="89"/>
      <c r="P21" s="89"/>
      <c r="Q21" s="89"/>
      <c r="R21" s="89"/>
      <c r="S21" s="89"/>
      <c r="T21" s="89"/>
      <c r="U21" s="89"/>
      <c r="V21" s="14"/>
      <c r="W21" s="14"/>
      <c r="Y21" s="91"/>
      <c r="Z21" s="91"/>
      <c r="AA21" s="91"/>
      <c r="AE21" s="91"/>
      <c r="AF21" s="91"/>
      <c r="AG21" s="91"/>
    </row>
    <row r="22" spans="1:33" s="7" customFormat="1" x14ac:dyDescent="0.25">
      <c r="A22" t="s">
        <v>63</v>
      </c>
      <c r="B22" s="20">
        <f t="shared" si="5"/>
        <v>0</v>
      </c>
      <c r="C22" s="20">
        <f t="shared" si="5"/>
        <v>3.2894736842105261E-3</v>
      </c>
      <c r="D22" s="20">
        <f t="shared" si="5"/>
        <v>3.6184210526315791E-2</v>
      </c>
      <c r="E22" s="20">
        <f t="shared" si="5"/>
        <v>3.2894736842105261E-2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12">
        <f t="shared" si="6"/>
        <v>7.2368421052631582E-2</v>
      </c>
      <c r="K22" s="12"/>
      <c r="N22" s="89"/>
      <c r="O22" s="89"/>
      <c r="P22" s="89"/>
      <c r="Q22" s="89"/>
      <c r="R22" s="89"/>
      <c r="S22" s="89"/>
      <c r="T22" s="89"/>
      <c r="U22" s="89"/>
      <c r="V22" s="14"/>
      <c r="W22" s="14"/>
      <c r="Y22" s="91"/>
      <c r="Z22" s="91"/>
      <c r="AA22" s="91"/>
      <c r="AE22" s="91"/>
      <c r="AF22" s="91"/>
      <c r="AG22" s="91"/>
    </row>
    <row r="23" spans="1:33" s="7" customFormat="1" x14ac:dyDescent="0.25">
      <c r="A23" t="s">
        <v>64</v>
      </c>
      <c r="B23" s="20">
        <f t="shared" si="5"/>
        <v>0</v>
      </c>
      <c r="C23" s="20">
        <f t="shared" si="5"/>
        <v>0</v>
      </c>
      <c r="D23" s="20">
        <f t="shared" si="5"/>
        <v>3.2894736842105261E-3</v>
      </c>
      <c r="E23" s="20">
        <f t="shared" si="5"/>
        <v>0</v>
      </c>
      <c r="F23" s="20">
        <f t="shared" si="5"/>
        <v>6.5789473684210523E-3</v>
      </c>
      <c r="G23" s="20">
        <f t="shared" si="5"/>
        <v>0</v>
      </c>
      <c r="H23" s="20">
        <f t="shared" si="5"/>
        <v>3.2894736842105261E-3</v>
      </c>
      <c r="I23" s="20">
        <f t="shared" si="5"/>
        <v>9.8684210526315784E-3</v>
      </c>
      <c r="J23" s="12">
        <f t="shared" si="6"/>
        <v>2.3026315789473683E-2</v>
      </c>
      <c r="K23" s="12"/>
      <c r="N23" s="89"/>
      <c r="O23" s="89"/>
      <c r="P23" s="89"/>
      <c r="Q23" s="89"/>
      <c r="R23" s="89"/>
      <c r="S23" s="89"/>
      <c r="T23" s="89"/>
      <c r="U23" s="89"/>
      <c r="V23" s="14"/>
      <c r="W23" s="14"/>
      <c r="Y23" s="91"/>
      <c r="Z23" s="91"/>
      <c r="AA23" s="91"/>
      <c r="AE23" s="91"/>
      <c r="AF23" s="91"/>
      <c r="AG23" s="91"/>
    </row>
    <row r="24" spans="1:33" s="7" customFormat="1" x14ac:dyDescent="0.25">
      <c r="A24" s="5" t="s">
        <v>91</v>
      </c>
      <c r="B24" s="13">
        <f>SUM(B16:B23)</f>
        <v>3.2894736842105261E-3</v>
      </c>
      <c r="C24" s="13">
        <f t="shared" ref="C24:I24" si="7">SUM(C16:C23)</f>
        <v>3.2894736842105261E-2</v>
      </c>
      <c r="D24" s="13">
        <f t="shared" si="7"/>
        <v>0.27302631578947367</v>
      </c>
      <c r="E24" s="13">
        <f t="shared" si="7"/>
        <v>0.38486842105263158</v>
      </c>
      <c r="F24" s="13">
        <f t="shared" si="7"/>
        <v>0.21381578947368421</v>
      </c>
      <c r="G24" s="13">
        <f t="shared" si="7"/>
        <v>5.5921052631578941E-2</v>
      </c>
      <c r="H24" s="13">
        <f t="shared" si="7"/>
        <v>1.9736842105263157E-2</v>
      </c>
      <c r="I24" s="13">
        <f t="shared" si="7"/>
        <v>1.6447368421052631E-2</v>
      </c>
      <c r="J24" s="19">
        <f>SUM(B24:I24)</f>
        <v>1</v>
      </c>
      <c r="K24" s="4"/>
      <c r="M24" s="8"/>
      <c r="N24" s="14"/>
      <c r="O24" s="14"/>
      <c r="P24" s="14"/>
      <c r="Q24" s="14"/>
      <c r="R24" s="14"/>
      <c r="S24" s="14"/>
      <c r="T24" s="14"/>
      <c r="U24" s="14"/>
      <c r="V24" s="18"/>
      <c r="Y24" s="91"/>
      <c r="Z24" s="91"/>
      <c r="AA24" s="91"/>
      <c r="AE24" s="91"/>
      <c r="AF24" s="91"/>
      <c r="AG24" s="91"/>
    </row>
    <row r="25" spans="1:33" s="7" customFormat="1" x14ac:dyDescent="0.25">
      <c r="A25" s="5" t="s">
        <v>88</v>
      </c>
      <c r="B25" s="6" t="s">
        <v>64</v>
      </c>
      <c r="C25" s="6" t="s">
        <v>63</v>
      </c>
      <c r="D25" s="6" t="s">
        <v>62</v>
      </c>
      <c r="E25" s="6" t="s">
        <v>60</v>
      </c>
      <c r="F25" s="6" t="s">
        <v>59</v>
      </c>
      <c r="G25" s="6" t="s">
        <v>57</v>
      </c>
      <c r="H25" s="6" t="s">
        <v>89</v>
      </c>
      <c r="I25" s="6" t="s">
        <v>55</v>
      </c>
      <c r="J25" s="4"/>
      <c r="K25" s="4"/>
      <c r="M25" s="8"/>
      <c r="X25" s="91"/>
      <c r="Y25" s="91"/>
      <c r="Z25" s="91"/>
      <c r="AA25" s="43"/>
      <c r="AD25" s="91"/>
      <c r="AE25" s="91"/>
      <c r="AF25" s="91"/>
      <c r="AG25" s="92"/>
    </row>
    <row r="26" spans="1:33" s="7" customFormat="1" x14ac:dyDescent="0.25">
      <c r="A26" s="5"/>
      <c r="B26" s="6"/>
      <c r="C26" s="6"/>
      <c r="D26" s="6"/>
      <c r="E26" s="6"/>
      <c r="F26" s="6"/>
      <c r="G26" s="6"/>
      <c r="H26" s="6"/>
      <c r="I26" s="6"/>
      <c r="J26" s="4"/>
      <c r="K26" s="4"/>
      <c r="M26" s="8"/>
    </row>
    <row r="27" spans="1:33" x14ac:dyDescent="0.25">
      <c r="A27" s="8" t="s">
        <v>103</v>
      </c>
      <c r="B27" s="7"/>
      <c r="C27" s="7"/>
      <c r="D27" s="7"/>
      <c r="E27" s="7"/>
      <c r="F27" s="7"/>
      <c r="G27" s="8" t="s">
        <v>104</v>
      </c>
      <c r="H27" s="7"/>
      <c r="I27" s="7"/>
      <c r="J27" s="7"/>
      <c r="K27" s="7"/>
      <c r="M27" s="8"/>
      <c r="N27" s="7"/>
      <c r="O27" s="7"/>
      <c r="P27" s="7"/>
      <c r="Q27" s="7"/>
      <c r="R27" s="7"/>
      <c r="S27" s="7"/>
      <c r="T27" s="7"/>
      <c r="U27" s="7"/>
      <c r="V27" s="7"/>
    </row>
    <row r="28" spans="1:33" x14ac:dyDescent="0.25">
      <c r="A28" s="8" t="s">
        <v>67</v>
      </c>
      <c r="B28" s="7" t="s">
        <v>68</v>
      </c>
      <c r="C28" s="7" t="s">
        <v>69</v>
      </c>
      <c r="D28" s="7" t="s">
        <v>70</v>
      </c>
      <c r="E28" s="7" t="s">
        <v>69</v>
      </c>
      <c r="F28" s="7"/>
      <c r="G28" s="8" t="s">
        <v>102</v>
      </c>
      <c r="H28" s="7" t="s">
        <v>68</v>
      </c>
      <c r="I28" s="7" t="s">
        <v>69</v>
      </c>
      <c r="J28" s="7" t="s">
        <v>70</v>
      </c>
      <c r="K28" s="7" t="s">
        <v>69</v>
      </c>
      <c r="M28" s="8"/>
      <c r="N28" s="7"/>
      <c r="O28" s="7"/>
      <c r="P28" s="7"/>
      <c r="Q28" s="7"/>
      <c r="R28" s="7"/>
      <c r="S28" s="7"/>
      <c r="T28" s="7"/>
      <c r="U28" s="7"/>
      <c r="V28" s="7"/>
    </row>
    <row r="29" spans="1:33" x14ac:dyDescent="0.25">
      <c r="A29" t="s">
        <v>71</v>
      </c>
      <c r="B29">
        <f>J11</f>
        <v>304</v>
      </c>
      <c r="C29" s="9">
        <f>B29/B29</f>
        <v>1</v>
      </c>
      <c r="D29">
        <v>64</v>
      </c>
      <c r="E29" s="9">
        <f>D29/D29</f>
        <v>1</v>
      </c>
      <c r="G29" t="s">
        <v>71</v>
      </c>
      <c r="H29">
        <f>J11</f>
        <v>304</v>
      </c>
      <c r="I29" s="9">
        <f t="shared" ref="I29:I35" si="8">H29/$H$29</f>
        <v>1</v>
      </c>
      <c r="J29">
        <v>64</v>
      </c>
      <c r="K29" s="9">
        <f>J29/J29</f>
        <v>1</v>
      </c>
      <c r="O29" s="9"/>
      <c r="Q29" s="9"/>
      <c r="V29" s="7"/>
    </row>
    <row r="30" spans="1:33" x14ac:dyDescent="0.25">
      <c r="A30" t="s">
        <v>66</v>
      </c>
      <c r="B30">
        <f>B3+C3+B4</f>
        <v>4</v>
      </c>
      <c r="C30" s="11">
        <f t="shared" ref="C30:C35" si="9">B30/B$29</f>
        <v>1.3157894736842105E-2</v>
      </c>
      <c r="D30">
        <v>3</v>
      </c>
      <c r="E30" s="9">
        <f t="shared" ref="E30:E35" si="10">D30/D$29</f>
        <v>4.6875E-2</v>
      </c>
      <c r="G30" t="s">
        <v>116</v>
      </c>
      <c r="H30">
        <f>B3</f>
        <v>1</v>
      </c>
      <c r="I30" s="9">
        <f t="shared" si="8"/>
        <v>3.2894736842105261E-3</v>
      </c>
      <c r="J30">
        <v>1</v>
      </c>
      <c r="K30" s="9">
        <f t="shared" ref="K30:K35" si="11">J30/J$29</f>
        <v>1.5625E-2</v>
      </c>
      <c r="O30" s="11"/>
      <c r="Q30" s="9"/>
      <c r="V30" s="7"/>
    </row>
    <row r="31" spans="1:33" x14ac:dyDescent="0.25">
      <c r="A31" t="s">
        <v>72</v>
      </c>
      <c r="B31">
        <f>B3+B4+C3+C4+C5+D4+D5+D6+E5+E6+E7+F6</f>
        <v>145</v>
      </c>
      <c r="C31" s="11">
        <f t="shared" si="9"/>
        <v>0.47697368421052633</v>
      </c>
      <c r="D31">
        <v>12</v>
      </c>
      <c r="E31" s="9">
        <f t="shared" si="10"/>
        <v>0.1875</v>
      </c>
      <c r="G31" t="s">
        <v>117</v>
      </c>
      <c r="H31">
        <f>B3+C4+D5+E6</f>
        <v>38</v>
      </c>
      <c r="I31" s="9">
        <f t="shared" si="8"/>
        <v>0.125</v>
      </c>
      <c r="J31">
        <v>4</v>
      </c>
      <c r="K31" s="9">
        <f t="shared" si="11"/>
        <v>6.25E-2</v>
      </c>
      <c r="O31" s="11"/>
      <c r="Q31" s="9"/>
      <c r="V31" s="7"/>
    </row>
    <row r="32" spans="1:33" x14ac:dyDescent="0.25">
      <c r="A32" t="s">
        <v>73</v>
      </c>
      <c r="B32">
        <f>SUM(B3:B7, C3:C7, D3:D7, E3:E7, F3:F6)</f>
        <v>190</v>
      </c>
      <c r="C32" s="11">
        <f t="shared" si="9"/>
        <v>0.625</v>
      </c>
      <c r="D32">
        <v>24</v>
      </c>
      <c r="E32" s="9">
        <f t="shared" si="10"/>
        <v>0.375</v>
      </c>
      <c r="G32" t="s">
        <v>118</v>
      </c>
      <c r="H32">
        <f>SUM(B3:B6) + SUM(C3:C6) + SUM(D3:D6) + SUM(E3:E6)</f>
        <v>83</v>
      </c>
      <c r="I32" s="9">
        <f t="shared" si="8"/>
        <v>0.27302631578947367</v>
      </c>
      <c r="J32">
        <v>16</v>
      </c>
      <c r="K32" s="9">
        <f t="shared" si="11"/>
        <v>0.25</v>
      </c>
      <c r="O32" s="11"/>
      <c r="Q32" s="9"/>
      <c r="V32" s="7"/>
    </row>
    <row r="33" spans="1:22" x14ac:dyDescent="0.25">
      <c r="A33" t="s">
        <v>74</v>
      </c>
      <c r="B33">
        <f>SUM(B3:B10, C3:C9, D3:D8, E3:E7, F3:F6, G3:G5, H3:H4, I3)</f>
        <v>229</v>
      </c>
      <c r="C33" s="11">
        <f t="shared" si="9"/>
        <v>0.75328947368421051</v>
      </c>
      <c r="D33">
        <v>36</v>
      </c>
      <c r="E33" s="9">
        <f t="shared" si="10"/>
        <v>0.5625</v>
      </c>
      <c r="G33" t="s">
        <v>119</v>
      </c>
      <c r="H33">
        <f>SUM(B3:B9)+SUM(C3:C8)+SUM(D3:D7)+SUM(E3:E6)+SUM(F3:F5)+SUM(G3:G4)+H3</f>
        <v>129</v>
      </c>
      <c r="I33" s="9">
        <f t="shared" si="8"/>
        <v>0.42434210526315791</v>
      </c>
      <c r="J33">
        <v>28</v>
      </c>
      <c r="K33" s="9">
        <f t="shared" si="11"/>
        <v>0.4375</v>
      </c>
      <c r="O33" s="11"/>
      <c r="Q33" s="9"/>
      <c r="V33" s="7"/>
    </row>
    <row r="34" spans="1:22" x14ac:dyDescent="0.25">
      <c r="A34" t="s">
        <v>75</v>
      </c>
      <c r="B34">
        <f>SUM(B9:B10, C8:C10, D7:D9, E6:E8, F5:F7, G4:G6, H3:H5, I3:I4)</f>
        <v>209</v>
      </c>
      <c r="C34" s="11">
        <f t="shared" si="9"/>
        <v>0.6875</v>
      </c>
      <c r="D34">
        <v>22</v>
      </c>
      <c r="E34" s="9">
        <f t="shared" si="10"/>
        <v>0.34375</v>
      </c>
      <c r="G34" t="s">
        <v>120</v>
      </c>
      <c r="H34">
        <f>B10+C9+D8+E7+F6+G5+H4+I3</f>
        <v>100</v>
      </c>
      <c r="I34" s="22">
        <f t="shared" si="8"/>
        <v>0.32894736842105265</v>
      </c>
      <c r="J34">
        <v>8</v>
      </c>
      <c r="K34" s="9">
        <f t="shared" si="11"/>
        <v>0.125</v>
      </c>
      <c r="O34" s="11"/>
      <c r="Q34" s="9"/>
      <c r="V34" s="7"/>
    </row>
    <row r="35" spans="1:22" x14ac:dyDescent="0.25">
      <c r="A35" t="s">
        <v>76</v>
      </c>
      <c r="B35">
        <f>SUM(E6:E7, F6:F7)</f>
        <v>120</v>
      </c>
      <c r="C35" s="11">
        <f t="shared" si="9"/>
        <v>0.39473684210526316</v>
      </c>
      <c r="D35">
        <v>4</v>
      </c>
      <c r="E35" s="9">
        <f t="shared" si="10"/>
        <v>6.25E-2</v>
      </c>
      <c r="G35" t="s">
        <v>121</v>
      </c>
      <c r="H35">
        <f>E7+F6</f>
        <v>70</v>
      </c>
      <c r="I35" s="22">
        <f t="shared" si="8"/>
        <v>0.23026315789473684</v>
      </c>
      <c r="J35">
        <v>2</v>
      </c>
      <c r="K35" s="9">
        <f t="shared" si="11"/>
        <v>3.125E-2</v>
      </c>
      <c r="O35" s="11"/>
      <c r="Q35" s="9"/>
      <c r="V35" s="7"/>
    </row>
    <row r="36" spans="1:22" x14ac:dyDescent="0.25">
      <c r="C36" s="11"/>
      <c r="E36" s="9"/>
      <c r="I36" s="9"/>
      <c r="K36" s="9"/>
      <c r="O36" s="11"/>
      <c r="Q36" s="9"/>
      <c r="V36" s="7"/>
    </row>
    <row r="37" spans="1:22" x14ac:dyDescent="0.25">
      <c r="A37" t="s">
        <v>124</v>
      </c>
      <c r="B37">
        <f>B29-B35</f>
        <v>184</v>
      </c>
      <c r="C37" s="11">
        <v>1</v>
      </c>
      <c r="D37">
        <v>60</v>
      </c>
      <c r="E37" s="9">
        <v>1</v>
      </c>
      <c r="G37" t="s">
        <v>125</v>
      </c>
      <c r="H37">
        <f>H29-H35</f>
        <v>234</v>
      </c>
      <c r="I37" s="9">
        <v>1</v>
      </c>
      <c r="J37">
        <v>62</v>
      </c>
      <c r="K37" s="9">
        <v>1</v>
      </c>
      <c r="O37" s="11"/>
      <c r="Q37" s="9"/>
      <c r="V37" s="7"/>
    </row>
    <row r="38" spans="1:22" x14ac:dyDescent="0.25">
      <c r="A38" t="s">
        <v>80</v>
      </c>
      <c r="B38">
        <f>B34-B35</f>
        <v>89</v>
      </c>
      <c r="C38" s="11">
        <f>B38/B$37</f>
        <v>0.48369565217391303</v>
      </c>
      <c r="D38">
        <v>18</v>
      </c>
      <c r="E38" s="9">
        <f>D38/D$37</f>
        <v>0.3</v>
      </c>
      <c r="G38" t="s">
        <v>122</v>
      </c>
      <c r="H38">
        <f>H34-E7-F6</f>
        <v>30</v>
      </c>
      <c r="I38" s="9">
        <f>H38/$H$37</f>
        <v>0.12820512820512819</v>
      </c>
      <c r="J38">
        <v>6</v>
      </c>
      <c r="K38" s="9">
        <f>J38/J$37</f>
        <v>9.6774193548387094E-2</v>
      </c>
      <c r="O38" s="11"/>
      <c r="Q38" s="9"/>
      <c r="V38" s="7"/>
    </row>
    <row r="39" spans="1:22" x14ac:dyDescent="0.25">
      <c r="C39" s="10"/>
      <c r="E39" s="9"/>
      <c r="O39" s="11"/>
      <c r="Q39" s="9"/>
      <c r="V39" s="7"/>
    </row>
    <row r="40" spans="1:22" x14ac:dyDescent="0.25">
      <c r="A40" t="s">
        <v>81</v>
      </c>
      <c r="B40">
        <f>B29-B34</f>
        <v>95</v>
      </c>
      <c r="C40" s="10">
        <f>B40/B$40</f>
        <v>1</v>
      </c>
      <c r="D40">
        <v>42</v>
      </c>
      <c r="E40" s="9">
        <f>D40/D$40</f>
        <v>1</v>
      </c>
      <c r="K40" s="9"/>
      <c r="O40" s="10"/>
      <c r="Q40" s="9"/>
      <c r="V40" s="7"/>
    </row>
    <row r="41" spans="1:22" x14ac:dyDescent="0.25">
      <c r="A41" t="s">
        <v>82</v>
      </c>
      <c r="B41">
        <f>B30</f>
        <v>4</v>
      </c>
      <c r="C41" s="11">
        <f>B41/B$40</f>
        <v>4.2105263157894736E-2</v>
      </c>
      <c r="D41">
        <v>3</v>
      </c>
      <c r="E41" s="9">
        <f>D41/D$40</f>
        <v>7.1428571428571425E-2</v>
      </c>
      <c r="K41" s="9"/>
      <c r="O41" s="10"/>
      <c r="Q41" s="9"/>
      <c r="V41" s="7"/>
    </row>
    <row r="42" spans="1:22" x14ac:dyDescent="0.25">
      <c r="A42" t="s">
        <v>77</v>
      </c>
      <c r="B42">
        <f>B31-(SUM(E6:E7,F6))</f>
        <v>47</v>
      </c>
      <c r="C42" s="11">
        <f>B42/B$40</f>
        <v>0.49473684210526314</v>
      </c>
      <c r="D42">
        <v>9</v>
      </c>
      <c r="E42" s="9">
        <f>D42/D$40</f>
        <v>0.21428571428571427</v>
      </c>
      <c r="I42" s="9"/>
      <c r="K42" s="9"/>
      <c r="O42" s="11"/>
      <c r="Q42" s="9"/>
      <c r="V42" s="7"/>
    </row>
    <row r="43" spans="1:22" x14ac:dyDescent="0.25">
      <c r="A43" t="s">
        <v>78</v>
      </c>
      <c r="B43">
        <f>$B$32-SUM($D$7, $E$6:E$7, $F$5:$F$6)</f>
        <v>62</v>
      </c>
      <c r="C43" s="11">
        <f>B43/B$40</f>
        <v>0.65263157894736845</v>
      </c>
      <c r="D43">
        <v>19</v>
      </c>
      <c r="E43" s="9">
        <f>D43/D$40</f>
        <v>0.45238095238095238</v>
      </c>
      <c r="K43" s="9"/>
      <c r="O43" s="11"/>
      <c r="Q43" s="9"/>
      <c r="V43" s="7"/>
    </row>
    <row r="44" spans="1:22" x14ac:dyDescent="0.25">
      <c r="A44" t="s">
        <v>79</v>
      </c>
      <c r="B44">
        <f>B$33-SUM(B$9:B$10, C$8:C$9, D$7:D$8, E$6:E$7, F$5:F$6, G$4:G$5, H$3:H$4, I$3)</f>
        <v>66</v>
      </c>
      <c r="C44" s="11">
        <f>B44/B$40</f>
        <v>0.69473684210526321</v>
      </c>
      <c r="D44">
        <v>21</v>
      </c>
      <c r="E44" s="9">
        <f>D44/D$40</f>
        <v>0.5</v>
      </c>
      <c r="K44" s="9"/>
      <c r="O44" s="11"/>
      <c r="Q44" s="9"/>
      <c r="V44" s="7"/>
    </row>
    <row r="45" spans="1:22" x14ac:dyDescent="0.25">
      <c r="O45" s="11"/>
      <c r="Q45" s="9"/>
      <c r="V45" s="7"/>
    </row>
    <row r="46" spans="1:22" x14ac:dyDescent="0.25">
      <c r="K46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opLeftCell="F1" workbookViewId="0">
      <selection activeCell="X9" sqref="X9"/>
    </sheetView>
  </sheetViews>
  <sheetFormatPr defaultColWidth="8.7109375" defaultRowHeight="15" x14ac:dyDescent="0.25"/>
  <cols>
    <col min="1" max="1" width="20.42578125" customWidth="1"/>
    <col min="2" max="2" width="8.7109375" customWidth="1"/>
    <col min="3" max="3" width="9.5703125" bestFit="1" customWidth="1"/>
    <col min="4" max="9" width="8.7109375" customWidth="1"/>
    <col min="10" max="10" width="13" style="7" customWidth="1"/>
  </cols>
  <sheetData>
    <row r="1" spans="1:23" x14ac:dyDescent="0.25">
      <c r="A1" s="1" t="s">
        <v>85</v>
      </c>
      <c r="J1" s="4" t="s">
        <v>58</v>
      </c>
      <c r="K1" s="4" t="s">
        <v>90</v>
      </c>
      <c r="M1" s="8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x14ac:dyDescent="0.25">
      <c r="A2" s="1" t="s">
        <v>61</v>
      </c>
      <c r="J2" s="4"/>
      <c r="K2" s="4"/>
      <c r="M2" s="8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x14ac:dyDescent="0.25">
      <c r="A3" s="2" t="s">
        <v>55</v>
      </c>
      <c r="B3">
        <v>6</v>
      </c>
      <c r="C3">
        <v>7</v>
      </c>
      <c r="D3">
        <v>13</v>
      </c>
      <c r="E3">
        <v>28</v>
      </c>
      <c r="F3">
        <v>8</v>
      </c>
      <c r="G3">
        <v>21</v>
      </c>
      <c r="H3">
        <v>19</v>
      </c>
      <c r="I3">
        <v>48</v>
      </c>
      <c r="J3" s="4">
        <f>SUM(B3:I3)</f>
        <v>150</v>
      </c>
      <c r="K3" s="12">
        <f>J3/$J$11</f>
        <v>0.16741071428571427</v>
      </c>
      <c r="M3" s="8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x14ac:dyDescent="0.25">
      <c r="A4" s="3" t="s">
        <v>56</v>
      </c>
      <c r="B4">
        <v>0</v>
      </c>
      <c r="C4">
        <v>5</v>
      </c>
      <c r="D4">
        <v>9</v>
      </c>
      <c r="E4">
        <v>10</v>
      </c>
      <c r="F4">
        <v>14</v>
      </c>
      <c r="G4">
        <v>14</v>
      </c>
      <c r="H4">
        <v>7</v>
      </c>
      <c r="I4">
        <v>8</v>
      </c>
      <c r="J4" s="4">
        <f t="shared" ref="J4:J10" si="0">SUM(B4:I4)</f>
        <v>67</v>
      </c>
      <c r="K4" s="12">
        <f t="shared" ref="K4:K10" si="1">J4/$J$11</f>
        <v>7.4776785714285712E-2</v>
      </c>
      <c r="M4" s="88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x14ac:dyDescent="0.25">
      <c r="A5" t="s">
        <v>57</v>
      </c>
      <c r="B5">
        <v>0</v>
      </c>
      <c r="C5">
        <v>6</v>
      </c>
      <c r="D5">
        <v>8</v>
      </c>
      <c r="E5">
        <v>34</v>
      </c>
      <c r="F5">
        <v>14</v>
      </c>
      <c r="G5">
        <v>28</v>
      </c>
      <c r="H5">
        <v>16</v>
      </c>
      <c r="I5">
        <v>5</v>
      </c>
      <c r="J5" s="4">
        <f t="shared" si="0"/>
        <v>111</v>
      </c>
      <c r="K5" s="12">
        <f t="shared" si="1"/>
        <v>0.12388392857142858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x14ac:dyDescent="0.25">
      <c r="A6" t="s">
        <v>59</v>
      </c>
      <c r="B6">
        <v>1</v>
      </c>
      <c r="C6">
        <v>2</v>
      </c>
      <c r="D6">
        <v>16</v>
      </c>
      <c r="E6">
        <v>37</v>
      </c>
      <c r="F6">
        <v>43</v>
      </c>
      <c r="G6">
        <v>18</v>
      </c>
      <c r="H6">
        <v>6</v>
      </c>
      <c r="I6">
        <v>3</v>
      </c>
      <c r="J6" s="4">
        <f t="shared" si="0"/>
        <v>126</v>
      </c>
      <c r="K6" s="12">
        <f t="shared" si="1"/>
        <v>0.140625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x14ac:dyDescent="0.25">
      <c r="A7" t="s">
        <v>60</v>
      </c>
      <c r="B7">
        <v>0</v>
      </c>
      <c r="C7">
        <v>8</v>
      </c>
      <c r="D7">
        <v>33</v>
      </c>
      <c r="E7">
        <v>113</v>
      </c>
      <c r="F7">
        <v>32</v>
      </c>
      <c r="G7">
        <v>20</v>
      </c>
      <c r="H7">
        <v>18</v>
      </c>
      <c r="I7">
        <v>11</v>
      </c>
      <c r="J7" s="4">
        <f t="shared" si="0"/>
        <v>235</v>
      </c>
      <c r="K7" s="12">
        <f t="shared" si="1"/>
        <v>0.2622767857142857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x14ac:dyDescent="0.25">
      <c r="A8" t="s">
        <v>62</v>
      </c>
      <c r="B8">
        <v>0</v>
      </c>
      <c r="C8">
        <v>9</v>
      </c>
      <c r="D8">
        <v>40</v>
      </c>
      <c r="E8">
        <v>24</v>
      </c>
      <c r="F8">
        <v>10</v>
      </c>
      <c r="G8">
        <v>9</v>
      </c>
      <c r="H8">
        <v>1</v>
      </c>
      <c r="I8">
        <v>4</v>
      </c>
      <c r="J8" s="4">
        <f t="shared" si="0"/>
        <v>97</v>
      </c>
      <c r="K8" s="12">
        <f t="shared" si="1"/>
        <v>0.10825892857142858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x14ac:dyDescent="0.25">
      <c r="A9" t="s">
        <v>63</v>
      </c>
      <c r="B9">
        <v>2</v>
      </c>
      <c r="C9">
        <v>11</v>
      </c>
      <c r="D9">
        <v>19</v>
      </c>
      <c r="E9">
        <v>13</v>
      </c>
      <c r="F9">
        <v>0</v>
      </c>
      <c r="G9">
        <v>2</v>
      </c>
      <c r="H9">
        <v>6</v>
      </c>
      <c r="I9">
        <v>3</v>
      </c>
      <c r="J9" s="4">
        <f t="shared" si="0"/>
        <v>56</v>
      </c>
      <c r="K9" s="12">
        <f t="shared" si="1"/>
        <v>6.25E-2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25">
      <c r="A10" t="s">
        <v>64</v>
      </c>
      <c r="B10">
        <v>38</v>
      </c>
      <c r="C10">
        <v>1</v>
      </c>
      <c r="D10">
        <v>0</v>
      </c>
      <c r="E10">
        <v>2</v>
      </c>
      <c r="F10">
        <v>1</v>
      </c>
      <c r="G10">
        <v>1</v>
      </c>
      <c r="H10">
        <v>3</v>
      </c>
      <c r="I10">
        <v>8</v>
      </c>
      <c r="J10" s="4">
        <f t="shared" si="0"/>
        <v>54</v>
      </c>
      <c r="K10" s="12">
        <f t="shared" si="1"/>
        <v>6.0267857142857144E-2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7" customFormat="1" x14ac:dyDescent="0.25">
      <c r="A11" s="5" t="s">
        <v>65</v>
      </c>
      <c r="B11" s="6">
        <f>SUM(B3:B10)</f>
        <v>47</v>
      </c>
      <c r="C11" s="6">
        <f t="shared" ref="C11:I11" si="2">SUM(C3:C10)</f>
        <v>49</v>
      </c>
      <c r="D11" s="6">
        <f t="shared" si="2"/>
        <v>138</v>
      </c>
      <c r="E11" s="6">
        <f t="shared" si="2"/>
        <v>261</v>
      </c>
      <c r="F11" s="6">
        <f t="shared" si="2"/>
        <v>122</v>
      </c>
      <c r="G11" s="6">
        <f t="shared" si="2"/>
        <v>113</v>
      </c>
      <c r="H11" s="6">
        <f t="shared" si="2"/>
        <v>76</v>
      </c>
      <c r="I11" s="6">
        <f t="shared" si="2"/>
        <v>90</v>
      </c>
      <c r="J11" s="4">
        <f>SUM(J3:J10)</f>
        <v>896</v>
      </c>
      <c r="K11" s="4"/>
      <c r="M11" s="8"/>
    </row>
    <row r="12" spans="1:23" x14ac:dyDescent="0.25">
      <c r="A12" s="5" t="s">
        <v>91</v>
      </c>
      <c r="B12" s="13">
        <f>B11/$J$11</f>
        <v>5.2455357142857144E-2</v>
      </c>
      <c r="C12" s="13">
        <f t="shared" ref="C12:I12" si="3">C11/$J$11</f>
        <v>5.46875E-2</v>
      </c>
      <c r="D12" s="13">
        <f t="shared" si="3"/>
        <v>0.15401785714285715</v>
      </c>
      <c r="E12" s="13">
        <f t="shared" si="3"/>
        <v>0.29129464285714285</v>
      </c>
      <c r="F12" s="13">
        <f t="shared" si="3"/>
        <v>0.13616071428571427</v>
      </c>
      <c r="G12" s="13">
        <f t="shared" si="3"/>
        <v>0.12611607142857142</v>
      </c>
      <c r="H12" s="13">
        <f t="shared" si="3"/>
        <v>8.4821428571428575E-2</v>
      </c>
      <c r="I12" s="13">
        <f t="shared" si="3"/>
        <v>0.10044642857142858</v>
      </c>
      <c r="J12" s="19">
        <f>SUM(B12:I12)</f>
        <v>1</v>
      </c>
      <c r="K12" s="4"/>
      <c r="M12" s="8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s="7" customFormat="1" x14ac:dyDescent="0.25">
      <c r="A13" s="5" t="s">
        <v>88</v>
      </c>
      <c r="B13" s="6" t="s">
        <v>64</v>
      </c>
      <c r="C13" s="6" t="s">
        <v>63</v>
      </c>
      <c r="D13" s="6" t="s">
        <v>62</v>
      </c>
      <c r="E13" s="6" t="s">
        <v>60</v>
      </c>
      <c r="F13" s="6" t="s">
        <v>59</v>
      </c>
      <c r="G13" s="6" t="s">
        <v>57</v>
      </c>
      <c r="H13" s="6" t="s">
        <v>89</v>
      </c>
      <c r="I13" s="6" t="s">
        <v>55</v>
      </c>
      <c r="J13" s="4"/>
      <c r="K13" s="4"/>
      <c r="M13" s="8"/>
    </row>
    <row r="14" spans="1:23" s="7" customFormat="1" x14ac:dyDescent="0.25">
      <c r="A14" s="8" t="s">
        <v>108</v>
      </c>
      <c r="M14" s="8"/>
    </row>
    <row r="15" spans="1:23" s="7" customFormat="1" x14ac:dyDescent="0.25">
      <c r="A15" s="1" t="s">
        <v>61</v>
      </c>
      <c r="B15"/>
      <c r="C15"/>
      <c r="D15"/>
      <c r="E15"/>
      <c r="F15"/>
      <c r="G15"/>
      <c r="H15"/>
      <c r="I15"/>
      <c r="J15" s="4"/>
      <c r="K15" s="4"/>
      <c r="M15" s="8"/>
    </row>
    <row r="16" spans="1:23" s="7" customFormat="1" x14ac:dyDescent="0.25">
      <c r="A16" s="2" t="s">
        <v>55</v>
      </c>
      <c r="B16" s="20">
        <f t="shared" ref="B16:I16" si="4">B3/$J$11</f>
        <v>6.6964285714285711E-3</v>
      </c>
      <c r="C16" s="20">
        <f t="shared" si="4"/>
        <v>7.8125E-3</v>
      </c>
      <c r="D16" s="20">
        <f t="shared" si="4"/>
        <v>1.4508928571428572E-2</v>
      </c>
      <c r="E16" s="20">
        <f t="shared" si="4"/>
        <v>3.125E-2</v>
      </c>
      <c r="F16" s="20">
        <f t="shared" si="4"/>
        <v>8.9285714285714281E-3</v>
      </c>
      <c r="G16" s="20">
        <f t="shared" si="4"/>
        <v>2.34375E-2</v>
      </c>
      <c r="H16" s="20">
        <f t="shared" si="4"/>
        <v>2.1205357142857144E-2</v>
      </c>
      <c r="I16" s="20">
        <f t="shared" si="4"/>
        <v>5.3571428571428568E-2</v>
      </c>
      <c r="J16" s="12">
        <f>SUM(B16:I16)</f>
        <v>0.1674107142857143</v>
      </c>
      <c r="K16" s="12"/>
      <c r="M16" s="87"/>
      <c r="N16" s="89"/>
      <c r="O16" s="89"/>
      <c r="P16" s="89"/>
      <c r="Q16" s="89"/>
      <c r="R16" s="89"/>
      <c r="S16" s="89"/>
      <c r="T16" s="89"/>
      <c r="U16" s="89"/>
      <c r="V16" s="14"/>
      <c r="W16" s="14"/>
    </row>
    <row r="17" spans="1:23" s="7" customFormat="1" x14ac:dyDescent="0.25">
      <c r="A17" s="3" t="s">
        <v>56</v>
      </c>
      <c r="B17" s="20">
        <f t="shared" ref="B17:I23" si="5">B4/$J$11</f>
        <v>0</v>
      </c>
      <c r="C17" s="20">
        <f t="shared" si="5"/>
        <v>5.580357142857143E-3</v>
      </c>
      <c r="D17" s="20">
        <f t="shared" si="5"/>
        <v>1.0044642857142858E-2</v>
      </c>
      <c r="E17" s="20">
        <f t="shared" si="5"/>
        <v>1.1160714285714286E-2</v>
      </c>
      <c r="F17" s="20">
        <f t="shared" si="5"/>
        <v>1.5625E-2</v>
      </c>
      <c r="G17" s="20">
        <f t="shared" si="5"/>
        <v>1.5625E-2</v>
      </c>
      <c r="H17" s="20">
        <f t="shared" si="5"/>
        <v>7.8125E-3</v>
      </c>
      <c r="I17" s="20">
        <f t="shared" si="5"/>
        <v>8.9285714285714281E-3</v>
      </c>
      <c r="J17" s="12">
        <f t="shared" ref="J17:J23" si="6">SUM(B17:I17)</f>
        <v>7.4776785714285712E-2</v>
      </c>
      <c r="K17" s="12"/>
      <c r="M17" s="88"/>
      <c r="N17" s="89"/>
      <c r="O17" s="89"/>
      <c r="P17" s="89"/>
      <c r="Q17" s="89"/>
      <c r="R17" s="89"/>
      <c r="S17" s="89"/>
      <c r="T17" s="89"/>
      <c r="U17" s="89"/>
      <c r="V17" s="14"/>
      <c r="W17" s="14"/>
    </row>
    <row r="18" spans="1:23" s="7" customFormat="1" x14ac:dyDescent="0.25">
      <c r="A18" t="s">
        <v>57</v>
      </c>
      <c r="B18" s="20">
        <f t="shared" si="5"/>
        <v>0</v>
      </c>
      <c r="C18" s="20">
        <f t="shared" si="5"/>
        <v>6.6964285714285711E-3</v>
      </c>
      <c r="D18" s="20">
        <f t="shared" si="5"/>
        <v>8.9285714285714281E-3</v>
      </c>
      <c r="E18" s="20">
        <f t="shared" si="5"/>
        <v>3.7946428571428568E-2</v>
      </c>
      <c r="F18" s="20">
        <f t="shared" si="5"/>
        <v>1.5625E-2</v>
      </c>
      <c r="G18" s="20">
        <f t="shared" si="5"/>
        <v>3.125E-2</v>
      </c>
      <c r="H18" s="20">
        <f t="shared" si="5"/>
        <v>1.7857142857142856E-2</v>
      </c>
      <c r="I18" s="20">
        <f t="shared" si="5"/>
        <v>5.580357142857143E-3</v>
      </c>
      <c r="J18" s="12">
        <f t="shared" si="6"/>
        <v>0.12388392857142856</v>
      </c>
      <c r="K18" s="12"/>
      <c r="N18" s="89"/>
      <c r="O18" s="89"/>
      <c r="P18" s="89"/>
      <c r="Q18" s="89"/>
      <c r="R18" s="89"/>
      <c r="S18" s="89"/>
      <c r="T18" s="89"/>
      <c r="U18" s="89"/>
      <c r="V18" s="14"/>
      <c r="W18" s="14"/>
    </row>
    <row r="19" spans="1:23" s="7" customFormat="1" x14ac:dyDescent="0.25">
      <c r="A19" t="s">
        <v>59</v>
      </c>
      <c r="B19" s="20">
        <f t="shared" si="5"/>
        <v>1.1160714285714285E-3</v>
      </c>
      <c r="C19" s="20">
        <f t="shared" si="5"/>
        <v>2.232142857142857E-3</v>
      </c>
      <c r="D19" s="20">
        <f t="shared" si="5"/>
        <v>1.7857142857142856E-2</v>
      </c>
      <c r="E19" s="20">
        <f t="shared" si="5"/>
        <v>4.1294642857142856E-2</v>
      </c>
      <c r="F19" s="20">
        <f t="shared" si="5"/>
        <v>4.7991071428571432E-2</v>
      </c>
      <c r="G19" s="20">
        <f t="shared" si="5"/>
        <v>2.0089285714285716E-2</v>
      </c>
      <c r="H19" s="20">
        <f t="shared" si="5"/>
        <v>6.6964285714285711E-3</v>
      </c>
      <c r="I19" s="20">
        <f t="shared" si="5"/>
        <v>3.3482142857142855E-3</v>
      </c>
      <c r="J19" s="12">
        <f t="shared" si="6"/>
        <v>0.140625</v>
      </c>
      <c r="K19" s="12"/>
      <c r="N19" s="89"/>
      <c r="O19" s="89"/>
      <c r="P19" s="89"/>
      <c r="Q19" s="89"/>
      <c r="R19" s="89"/>
      <c r="S19" s="89"/>
      <c r="T19" s="89"/>
      <c r="U19" s="89"/>
      <c r="V19" s="14"/>
      <c r="W19" s="14"/>
    </row>
    <row r="20" spans="1:23" s="7" customFormat="1" x14ac:dyDescent="0.25">
      <c r="A20" t="s">
        <v>60</v>
      </c>
      <c r="B20" s="20">
        <f t="shared" si="5"/>
        <v>0</v>
      </c>
      <c r="C20" s="20">
        <f t="shared" si="5"/>
        <v>8.9285714285714281E-3</v>
      </c>
      <c r="D20" s="20">
        <f t="shared" si="5"/>
        <v>3.6830357142857144E-2</v>
      </c>
      <c r="E20" s="20">
        <f t="shared" si="5"/>
        <v>0.12611607142857142</v>
      </c>
      <c r="F20" s="20">
        <f t="shared" si="5"/>
        <v>3.5714285714285712E-2</v>
      </c>
      <c r="G20" s="20">
        <f t="shared" si="5"/>
        <v>2.2321428571428572E-2</v>
      </c>
      <c r="H20" s="20">
        <f t="shared" si="5"/>
        <v>2.0089285714285716E-2</v>
      </c>
      <c r="I20" s="20">
        <f t="shared" si="5"/>
        <v>1.2276785714285714E-2</v>
      </c>
      <c r="J20" s="12">
        <f t="shared" si="6"/>
        <v>0.2622767857142857</v>
      </c>
      <c r="K20" s="12"/>
      <c r="N20" s="89"/>
      <c r="O20" s="89"/>
      <c r="P20" s="89"/>
      <c r="Q20" s="89"/>
      <c r="R20" s="89"/>
      <c r="S20" s="89"/>
      <c r="T20" s="89"/>
      <c r="U20" s="89"/>
      <c r="V20" s="14"/>
      <c r="W20" s="14"/>
    </row>
    <row r="21" spans="1:23" s="7" customFormat="1" x14ac:dyDescent="0.25">
      <c r="A21" t="s">
        <v>62</v>
      </c>
      <c r="B21" s="20">
        <f t="shared" si="5"/>
        <v>0</v>
      </c>
      <c r="C21" s="20">
        <f t="shared" si="5"/>
        <v>1.0044642857142858E-2</v>
      </c>
      <c r="D21" s="20">
        <f t="shared" si="5"/>
        <v>4.4642857142857144E-2</v>
      </c>
      <c r="E21" s="20">
        <f t="shared" si="5"/>
        <v>2.6785714285714284E-2</v>
      </c>
      <c r="F21" s="20">
        <f t="shared" si="5"/>
        <v>1.1160714285714286E-2</v>
      </c>
      <c r="G21" s="20">
        <f t="shared" si="5"/>
        <v>1.0044642857142858E-2</v>
      </c>
      <c r="H21" s="20">
        <f t="shared" si="5"/>
        <v>1.1160714285714285E-3</v>
      </c>
      <c r="I21" s="20">
        <f t="shared" si="5"/>
        <v>4.464285714285714E-3</v>
      </c>
      <c r="J21" s="12">
        <f t="shared" si="6"/>
        <v>0.10825892857142858</v>
      </c>
      <c r="K21" s="12"/>
      <c r="N21" s="89"/>
      <c r="O21" s="89"/>
      <c r="P21" s="89"/>
      <c r="Q21" s="89"/>
      <c r="R21" s="89"/>
      <c r="S21" s="89"/>
      <c r="T21" s="89"/>
      <c r="U21" s="89"/>
      <c r="V21" s="14"/>
      <c r="W21" s="14"/>
    </row>
    <row r="22" spans="1:23" s="7" customFormat="1" x14ac:dyDescent="0.25">
      <c r="A22" t="s">
        <v>63</v>
      </c>
      <c r="B22" s="20">
        <f t="shared" si="5"/>
        <v>2.232142857142857E-3</v>
      </c>
      <c r="C22" s="20">
        <f t="shared" si="5"/>
        <v>1.2276785714285714E-2</v>
      </c>
      <c r="D22" s="20">
        <f t="shared" si="5"/>
        <v>2.1205357142857144E-2</v>
      </c>
      <c r="E22" s="20">
        <f t="shared" si="5"/>
        <v>1.4508928571428572E-2</v>
      </c>
      <c r="F22" s="20">
        <f t="shared" si="5"/>
        <v>0</v>
      </c>
      <c r="G22" s="20">
        <f t="shared" si="5"/>
        <v>2.232142857142857E-3</v>
      </c>
      <c r="H22" s="20">
        <f t="shared" si="5"/>
        <v>6.6964285714285711E-3</v>
      </c>
      <c r="I22" s="20">
        <f t="shared" si="5"/>
        <v>3.3482142857142855E-3</v>
      </c>
      <c r="J22" s="12">
        <f t="shared" si="6"/>
        <v>6.25E-2</v>
      </c>
      <c r="K22" s="12"/>
      <c r="N22" s="89"/>
      <c r="O22" s="89"/>
      <c r="P22" s="89"/>
      <c r="Q22" s="89"/>
      <c r="R22" s="89"/>
      <c r="S22" s="89"/>
      <c r="T22" s="89"/>
      <c r="U22" s="89"/>
      <c r="V22" s="14"/>
      <c r="W22" s="14"/>
    </row>
    <row r="23" spans="1:23" s="7" customFormat="1" x14ac:dyDescent="0.25">
      <c r="A23" t="s">
        <v>64</v>
      </c>
      <c r="B23" s="20">
        <f t="shared" si="5"/>
        <v>4.2410714285714288E-2</v>
      </c>
      <c r="C23" s="20">
        <f t="shared" si="5"/>
        <v>1.1160714285714285E-3</v>
      </c>
      <c r="D23" s="20">
        <f t="shared" si="5"/>
        <v>0</v>
      </c>
      <c r="E23" s="20">
        <f t="shared" si="5"/>
        <v>2.232142857142857E-3</v>
      </c>
      <c r="F23" s="20">
        <f t="shared" si="5"/>
        <v>1.1160714285714285E-3</v>
      </c>
      <c r="G23" s="20">
        <f t="shared" si="5"/>
        <v>1.1160714285714285E-3</v>
      </c>
      <c r="H23" s="20">
        <f t="shared" si="5"/>
        <v>3.3482142857142855E-3</v>
      </c>
      <c r="I23" s="20">
        <f t="shared" si="5"/>
        <v>8.9285714285714281E-3</v>
      </c>
      <c r="J23" s="12">
        <f t="shared" si="6"/>
        <v>6.0267857142857151E-2</v>
      </c>
      <c r="K23" s="12"/>
      <c r="N23" s="89"/>
      <c r="O23" s="89"/>
      <c r="P23" s="89"/>
      <c r="Q23" s="89"/>
      <c r="R23" s="89"/>
      <c r="S23" s="89"/>
      <c r="T23" s="89"/>
      <c r="U23" s="89"/>
      <c r="V23" s="14"/>
      <c r="W23" s="14"/>
    </row>
    <row r="24" spans="1:23" s="7" customFormat="1" x14ac:dyDescent="0.25">
      <c r="A24" s="5" t="s">
        <v>91</v>
      </c>
      <c r="B24" s="13">
        <f>SUM(B16:B23)</f>
        <v>5.2455357142857144E-2</v>
      </c>
      <c r="C24" s="13">
        <f t="shared" ref="C24:I24" si="7">SUM(C16:C23)</f>
        <v>5.46875E-2</v>
      </c>
      <c r="D24" s="13">
        <f t="shared" si="7"/>
        <v>0.15401785714285715</v>
      </c>
      <c r="E24" s="13">
        <f t="shared" si="7"/>
        <v>0.29129464285714279</v>
      </c>
      <c r="F24" s="13">
        <f t="shared" si="7"/>
        <v>0.13616071428571427</v>
      </c>
      <c r="G24" s="13">
        <f t="shared" si="7"/>
        <v>0.12611607142857142</v>
      </c>
      <c r="H24" s="13">
        <f t="shared" si="7"/>
        <v>8.4821428571428575E-2</v>
      </c>
      <c r="I24" s="13">
        <f t="shared" si="7"/>
        <v>0.10044642857142856</v>
      </c>
      <c r="J24" s="19">
        <f>SUM(B24:I24)</f>
        <v>1</v>
      </c>
      <c r="K24" s="4"/>
      <c r="M24" s="8"/>
      <c r="N24" s="14"/>
      <c r="O24" s="14"/>
      <c r="P24" s="14"/>
      <c r="Q24" s="14"/>
      <c r="R24" s="14"/>
      <c r="S24" s="14"/>
      <c r="T24" s="14"/>
      <c r="U24" s="14"/>
      <c r="V24" s="18"/>
    </row>
    <row r="25" spans="1:23" s="7" customFormat="1" x14ac:dyDescent="0.25">
      <c r="A25" s="5" t="s">
        <v>88</v>
      </c>
      <c r="B25" s="6" t="s">
        <v>64</v>
      </c>
      <c r="C25" s="6" t="s">
        <v>63</v>
      </c>
      <c r="D25" s="6" t="s">
        <v>62</v>
      </c>
      <c r="E25" s="6" t="s">
        <v>60</v>
      </c>
      <c r="F25" s="6" t="s">
        <v>59</v>
      </c>
      <c r="G25" s="6" t="s">
        <v>57</v>
      </c>
      <c r="H25" s="6" t="s">
        <v>89</v>
      </c>
      <c r="I25" s="6" t="s">
        <v>55</v>
      </c>
      <c r="J25" s="4"/>
      <c r="K25" s="4"/>
      <c r="M25" s="8"/>
    </row>
    <row r="26" spans="1:23" s="7" customFormat="1" x14ac:dyDescent="0.25">
      <c r="A26" s="8"/>
      <c r="M26" s="8"/>
    </row>
    <row r="27" spans="1:23" s="7" customFormat="1" x14ac:dyDescent="0.25">
      <c r="A27" s="8" t="s">
        <v>103</v>
      </c>
      <c r="G27" s="8" t="s">
        <v>104</v>
      </c>
      <c r="M27" s="8"/>
    </row>
    <row r="28" spans="1:23" s="7" customFormat="1" x14ac:dyDescent="0.25">
      <c r="A28" s="8" t="s">
        <v>67</v>
      </c>
      <c r="B28" s="7" t="s">
        <v>68</v>
      </c>
      <c r="C28" s="7" t="s">
        <v>69</v>
      </c>
      <c r="D28" s="7" t="s">
        <v>70</v>
      </c>
      <c r="E28" s="7" t="s">
        <v>69</v>
      </c>
      <c r="G28" s="8" t="s">
        <v>102</v>
      </c>
      <c r="H28" s="7" t="s">
        <v>68</v>
      </c>
      <c r="I28" s="7" t="s">
        <v>69</v>
      </c>
      <c r="J28" s="7" t="s">
        <v>70</v>
      </c>
      <c r="K28" s="7" t="s">
        <v>69</v>
      </c>
      <c r="M28" s="8"/>
    </row>
    <row r="29" spans="1:23" x14ac:dyDescent="0.25">
      <c r="A29" t="s">
        <v>71</v>
      </c>
      <c r="B29">
        <f>J11</f>
        <v>896</v>
      </c>
      <c r="C29" s="9">
        <f>B29/B29</f>
        <v>1</v>
      </c>
      <c r="D29">
        <v>64</v>
      </c>
      <c r="E29" s="9">
        <f>D29/D29</f>
        <v>1</v>
      </c>
      <c r="G29" t="s">
        <v>71</v>
      </c>
      <c r="H29">
        <f>J11</f>
        <v>896</v>
      </c>
      <c r="I29" s="9">
        <f t="shared" ref="I29:I35" si="8">H29/$H$29</f>
        <v>1</v>
      </c>
      <c r="J29">
        <v>64</v>
      </c>
      <c r="K29" s="9">
        <f>J29/J29</f>
        <v>1</v>
      </c>
      <c r="L29" s="7"/>
      <c r="O29" s="9"/>
      <c r="Q29" s="9"/>
      <c r="V29" s="7"/>
    </row>
    <row r="30" spans="1:23" x14ac:dyDescent="0.25">
      <c r="A30" t="s">
        <v>66</v>
      </c>
      <c r="B30">
        <f>B3+C3+B4</f>
        <v>13</v>
      </c>
      <c r="C30" s="10">
        <f t="shared" ref="C30:C35" si="9">B30/B$29</f>
        <v>1.4508928571428572E-2</v>
      </c>
      <c r="D30">
        <v>3</v>
      </c>
      <c r="E30" s="9">
        <f t="shared" ref="E30:E35" si="10">D30/D$29</f>
        <v>4.6875E-2</v>
      </c>
      <c r="G30" t="s">
        <v>116</v>
      </c>
      <c r="H30">
        <f>B3</f>
        <v>6</v>
      </c>
      <c r="I30" s="9">
        <f t="shared" si="8"/>
        <v>6.6964285714285711E-3</v>
      </c>
      <c r="J30">
        <v>1</v>
      </c>
      <c r="K30" s="9">
        <f t="shared" ref="K30:K35" si="11">J30/J$29</f>
        <v>1.5625E-2</v>
      </c>
      <c r="L30" s="9"/>
      <c r="O30" s="10"/>
      <c r="Q30" s="9"/>
      <c r="V30" s="7"/>
    </row>
    <row r="31" spans="1:23" x14ac:dyDescent="0.25">
      <c r="A31" t="s">
        <v>72</v>
      </c>
      <c r="B31">
        <f>B3+B4+C3+C4+C5+D4+D5+D6+E5+E6+E7+F6</f>
        <v>284</v>
      </c>
      <c r="C31" s="10">
        <f t="shared" si="9"/>
        <v>0.3169642857142857</v>
      </c>
      <c r="D31">
        <v>12</v>
      </c>
      <c r="E31" s="9">
        <f t="shared" si="10"/>
        <v>0.1875</v>
      </c>
      <c r="G31" t="s">
        <v>117</v>
      </c>
      <c r="H31">
        <f>B3+C4+D5+E6</f>
        <v>56</v>
      </c>
      <c r="I31" s="9">
        <f t="shared" si="8"/>
        <v>6.25E-2</v>
      </c>
      <c r="J31">
        <v>4</v>
      </c>
      <c r="K31" s="9">
        <f t="shared" si="11"/>
        <v>6.25E-2</v>
      </c>
      <c r="L31" s="9"/>
      <c r="O31" s="10"/>
      <c r="Q31" s="9"/>
      <c r="V31" s="7"/>
    </row>
    <row r="32" spans="1:23" x14ac:dyDescent="0.25">
      <c r="A32" t="s">
        <v>73</v>
      </c>
      <c r="B32">
        <f>SUM(B3:B7, C3:C7, D3:D7, E3:E7, F3:F6)</f>
        <v>415</v>
      </c>
      <c r="C32" s="10">
        <f t="shared" si="9"/>
        <v>0.46316964285714285</v>
      </c>
      <c r="D32">
        <v>24</v>
      </c>
      <c r="E32" s="9">
        <f t="shared" si="10"/>
        <v>0.375</v>
      </c>
      <c r="G32" t="s">
        <v>118</v>
      </c>
      <c r="H32">
        <f>SUM(B3:B6) + SUM(C3:C6) + SUM(D3:D6) + SUM(E3:E6)</f>
        <v>182</v>
      </c>
      <c r="I32" s="9">
        <f t="shared" si="8"/>
        <v>0.203125</v>
      </c>
      <c r="J32">
        <v>16</v>
      </c>
      <c r="K32" s="9">
        <f t="shared" si="11"/>
        <v>0.25</v>
      </c>
      <c r="L32" s="9"/>
      <c r="O32" s="10"/>
      <c r="Q32" s="9"/>
      <c r="V32" s="7"/>
    </row>
    <row r="33" spans="1:22" x14ac:dyDescent="0.25">
      <c r="A33" t="s">
        <v>74</v>
      </c>
      <c r="B33">
        <f>SUM(B3:B10, C3:C9, D3:D8, E3:E7, F3:F6, G3:G5, H3:H4, I3)</f>
        <v>652</v>
      </c>
      <c r="C33" s="10">
        <f t="shared" si="9"/>
        <v>0.7276785714285714</v>
      </c>
      <c r="D33">
        <v>36</v>
      </c>
      <c r="E33" s="9">
        <f t="shared" si="10"/>
        <v>0.5625</v>
      </c>
      <c r="G33" t="s">
        <v>119</v>
      </c>
      <c r="H33">
        <f>SUM(B3:B9)+SUM(C3:C8)+SUM(D3:D7)+SUM(E3:E6)+SUM(F3:F5)+SUM(G3:G4)+H3</f>
        <v>324</v>
      </c>
      <c r="I33" s="9">
        <f t="shared" si="8"/>
        <v>0.36160714285714285</v>
      </c>
      <c r="J33">
        <v>28</v>
      </c>
      <c r="K33" s="9">
        <f t="shared" si="11"/>
        <v>0.4375</v>
      </c>
      <c r="L33" s="9"/>
      <c r="O33" s="10"/>
      <c r="Q33" s="9"/>
      <c r="V33" s="7"/>
    </row>
    <row r="34" spans="1:22" x14ac:dyDescent="0.25">
      <c r="A34" t="s">
        <v>75</v>
      </c>
      <c r="B34">
        <f>SUM(B9:B10, C8:C10, D7:D9, E6:E8, F5:F7, G4:G6, H3:H5, I3:I4)</f>
        <v>574</v>
      </c>
      <c r="C34" s="10">
        <f t="shared" si="9"/>
        <v>0.640625</v>
      </c>
      <c r="D34">
        <v>22</v>
      </c>
      <c r="E34" s="9">
        <f t="shared" si="10"/>
        <v>0.34375</v>
      </c>
      <c r="G34" t="s">
        <v>120</v>
      </c>
      <c r="H34">
        <f>B10+C9+D8+E7+F6+G5+H4+I3</f>
        <v>328</v>
      </c>
      <c r="I34" s="22">
        <f t="shared" si="8"/>
        <v>0.36607142857142855</v>
      </c>
      <c r="J34">
        <v>8</v>
      </c>
      <c r="K34" s="9">
        <f t="shared" si="11"/>
        <v>0.125</v>
      </c>
      <c r="L34" s="9"/>
      <c r="O34" s="10"/>
      <c r="Q34" s="9"/>
      <c r="V34" s="7"/>
    </row>
    <row r="35" spans="1:22" x14ac:dyDescent="0.25">
      <c r="A35" t="s">
        <v>76</v>
      </c>
      <c r="B35">
        <f>SUM(E6:E7, F6:F7)</f>
        <v>225</v>
      </c>
      <c r="C35" s="10">
        <f t="shared" si="9"/>
        <v>0.25111607142857145</v>
      </c>
      <c r="D35">
        <v>4</v>
      </c>
      <c r="E35" s="9">
        <f t="shared" si="10"/>
        <v>6.25E-2</v>
      </c>
      <c r="G35" t="s">
        <v>121</v>
      </c>
      <c r="H35">
        <f>E7+E6</f>
        <v>150</v>
      </c>
      <c r="I35" s="22">
        <f t="shared" si="8"/>
        <v>0.16741071428571427</v>
      </c>
      <c r="J35">
        <v>2</v>
      </c>
      <c r="K35" s="9">
        <f t="shared" si="11"/>
        <v>3.125E-2</v>
      </c>
      <c r="L35" s="9"/>
      <c r="O35" s="10"/>
      <c r="Q35" s="9"/>
      <c r="V35" s="7"/>
    </row>
    <row r="36" spans="1:22" x14ac:dyDescent="0.25">
      <c r="C36" s="11"/>
      <c r="E36" s="9"/>
      <c r="I36" s="9"/>
      <c r="J36"/>
      <c r="K36" s="9"/>
      <c r="L36" s="9"/>
      <c r="O36" s="10"/>
      <c r="Q36" s="9"/>
      <c r="V36" s="7"/>
    </row>
    <row r="37" spans="1:22" x14ac:dyDescent="0.25">
      <c r="A37" t="s">
        <v>124</v>
      </c>
      <c r="B37">
        <f>B29-B35</f>
        <v>671</v>
      </c>
      <c r="C37" s="11">
        <v>1</v>
      </c>
      <c r="D37">
        <v>60</v>
      </c>
      <c r="E37" s="9">
        <v>1</v>
      </c>
      <c r="G37" t="s">
        <v>125</v>
      </c>
      <c r="H37">
        <f>H29-H35</f>
        <v>746</v>
      </c>
      <c r="I37" s="9">
        <v>1</v>
      </c>
      <c r="J37">
        <v>62</v>
      </c>
      <c r="K37" s="9">
        <v>1</v>
      </c>
      <c r="L37" s="9"/>
      <c r="O37" s="10"/>
      <c r="Q37" s="9"/>
      <c r="V37" s="7"/>
    </row>
    <row r="38" spans="1:22" x14ac:dyDescent="0.25">
      <c r="A38" t="s">
        <v>80</v>
      </c>
      <c r="B38">
        <f>B34-B35</f>
        <v>349</v>
      </c>
      <c r="C38" s="11">
        <f>B38/B$37</f>
        <v>0.52011922503725783</v>
      </c>
      <c r="D38">
        <v>18</v>
      </c>
      <c r="E38" s="9">
        <f>D38/D$37</f>
        <v>0.3</v>
      </c>
      <c r="G38" t="s">
        <v>122</v>
      </c>
      <c r="H38">
        <f>H34-E7-F6</f>
        <v>172</v>
      </c>
      <c r="I38" s="9">
        <f>H38/$H$37</f>
        <v>0.23056300268096513</v>
      </c>
      <c r="J38">
        <v>6</v>
      </c>
      <c r="K38" s="9">
        <f>J38/J$37</f>
        <v>9.6774193548387094E-2</v>
      </c>
      <c r="L38" s="9"/>
      <c r="O38" s="10"/>
      <c r="Q38" s="9"/>
      <c r="V38" s="7"/>
    </row>
    <row r="39" spans="1:22" x14ac:dyDescent="0.25">
      <c r="C39" s="10"/>
      <c r="E39" s="9"/>
      <c r="J39"/>
      <c r="L39" s="9"/>
      <c r="O39" s="10"/>
      <c r="Q39" s="9"/>
      <c r="V39" s="7"/>
    </row>
    <row r="40" spans="1:22" x14ac:dyDescent="0.25">
      <c r="A40" t="s">
        <v>81</v>
      </c>
      <c r="B40">
        <f>B29-B34</f>
        <v>322</v>
      </c>
      <c r="C40" s="10">
        <f>B40/B$40</f>
        <v>1</v>
      </c>
      <c r="D40">
        <v>42</v>
      </c>
      <c r="E40" s="9">
        <f>D40/D$40</f>
        <v>1</v>
      </c>
      <c r="J40"/>
      <c r="K40" s="9"/>
      <c r="L40" s="9"/>
      <c r="O40" s="10"/>
      <c r="Q40" s="9"/>
      <c r="V40" s="7"/>
    </row>
    <row r="41" spans="1:22" x14ac:dyDescent="0.25">
      <c r="A41" t="s">
        <v>82</v>
      </c>
      <c r="B41">
        <f>B30</f>
        <v>13</v>
      </c>
      <c r="C41" s="11">
        <f>B41/B$40</f>
        <v>4.0372670807453416E-2</v>
      </c>
      <c r="D41">
        <v>3</v>
      </c>
      <c r="E41" s="9">
        <f>D41/D$40</f>
        <v>7.1428571428571425E-2</v>
      </c>
      <c r="J41"/>
      <c r="K41" s="9"/>
      <c r="O41" s="10"/>
      <c r="Q41" s="9"/>
      <c r="V41" s="7"/>
    </row>
    <row r="42" spans="1:22" x14ac:dyDescent="0.25">
      <c r="A42" t="s">
        <v>77</v>
      </c>
      <c r="B42">
        <f>B31-(SUM(E6:E7,F6))</f>
        <v>91</v>
      </c>
      <c r="C42" s="11">
        <f>B42/B$40</f>
        <v>0.28260869565217389</v>
      </c>
      <c r="D42">
        <v>9</v>
      </c>
      <c r="E42" s="9">
        <f>D42/D$40</f>
        <v>0.21428571428571427</v>
      </c>
      <c r="I42" s="9"/>
      <c r="J42"/>
      <c r="K42" s="9"/>
      <c r="O42" s="10"/>
      <c r="Q42" s="9"/>
      <c r="V42" s="7"/>
    </row>
    <row r="43" spans="1:22" x14ac:dyDescent="0.25">
      <c r="A43" t="s">
        <v>78</v>
      </c>
      <c r="B43">
        <f>$B$32-SUM($D$7, $E$6:E$7, $F$5:$F$6)</f>
        <v>175</v>
      </c>
      <c r="C43" s="11">
        <f>B43/B$40</f>
        <v>0.54347826086956519</v>
      </c>
      <c r="D43">
        <v>19</v>
      </c>
      <c r="E43" s="9">
        <f>D43/D$40</f>
        <v>0.45238095238095238</v>
      </c>
      <c r="J43"/>
      <c r="K43" s="9"/>
      <c r="O43" s="10"/>
      <c r="Q43" s="9"/>
      <c r="V43" s="7"/>
    </row>
    <row r="44" spans="1:22" x14ac:dyDescent="0.25">
      <c r="A44" t="s">
        <v>79</v>
      </c>
      <c r="B44">
        <f>B$33-SUM(B$9:B$10, C$8:C$9, D$7:D$8, E$6:E$7, F$5:F$6, G$4:G$5, H$3:H$4, I$3)</f>
        <v>196</v>
      </c>
      <c r="C44" s="11">
        <f>B44/B$40</f>
        <v>0.60869565217391308</v>
      </c>
      <c r="D44">
        <v>21</v>
      </c>
      <c r="E44" s="9">
        <f>D44/D$40</f>
        <v>0.5</v>
      </c>
      <c r="J44"/>
      <c r="K44" s="9"/>
      <c r="O44" s="10"/>
      <c r="Q44" s="9"/>
      <c r="V44" s="7"/>
    </row>
    <row r="45" spans="1:22" x14ac:dyDescent="0.25">
      <c r="J45"/>
      <c r="O45" s="10"/>
      <c r="Q45" s="9"/>
      <c r="V45" s="7"/>
    </row>
  </sheetData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1"/>
  <sheetViews>
    <sheetView topLeftCell="C1" workbookViewId="0">
      <selection activeCell="L10" sqref="L10"/>
    </sheetView>
  </sheetViews>
  <sheetFormatPr defaultColWidth="8.7109375" defaultRowHeight="15" x14ac:dyDescent="0.25"/>
  <cols>
    <col min="1" max="1" width="14" customWidth="1"/>
    <col min="7" max="7" width="11.7109375" customWidth="1"/>
  </cols>
  <sheetData>
    <row r="1" spans="1:39" x14ac:dyDescent="0.25">
      <c r="A1" s="1" t="s">
        <v>83</v>
      </c>
      <c r="J1" s="4" t="s">
        <v>58</v>
      </c>
      <c r="K1" s="4" t="s">
        <v>90</v>
      </c>
      <c r="M1" s="8"/>
      <c r="N1" s="7"/>
      <c r="O1" s="7"/>
      <c r="P1" s="7"/>
      <c r="Q1" s="7"/>
      <c r="R1" s="7"/>
      <c r="S1" s="7"/>
      <c r="T1" s="7"/>
      <c r="U1" s="7"/>
      <c r="V1" s="7"/>
      <c r="W1" s="7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7"/>
    </row>
    <row r="2" spans="1:39" x14ac:dyDescent="0.25">
      <c r="A2" s="1" t="s">
        <v>61</v>
      </c>
      <c r="J2" s="4"/>
      <c r="K2" s="4"/>
      <c r="M2" s="8"/>
      <c r="N2" s="7"/>
      <c r="O2" s="7"/>
      <c r="P2" s="7"/>
      <c r="Q2" s="7"/>
      <c r="R2" s="7"/>
      <c r="S2" s="7"/>
      <c r="T2" s="7"/>
      <c r="U2" s="7"/>
      <c r="V2" s="7"/>
      <c r="W2" s="7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6"/>
      <c r="AK2" s="86"/>
      <c r="AL2" s="86"/>
      <c r="AM2" s="7"/>
    </row>
    <row r="3" spans="1:39" x14ac:dyDescent="0.25">
      <c r="A3" s="2" t="s">
        <v>55</v>
      </c>
      <c r="B3">
        <v>1</v>
      </c>
      <c r="C3">
        <v>3</v>
      </c>
      <c r="D3">
        <v>2</v>
      </c>
      <c r="E3">
        <v>7</v>
      </c>
      <c r="F3">
        <v>7</v>
      </c>
      <c r="G3">
        <v>1</v>
      </c>
      <c r="H3">
        <v>2</v>
      </c>
      <c r="I3">
        <v>3</v>
      </c>
      <c r="J3" s="4">
        <f>SUM(B3:I3)</f>
        <v>26</v>
      </c>
      <c r="K3" s="12">
        <f>J3/J$11</f>
        <v>8.1250000000000003E-2</v>
      </c>
      <c r="M3" s="87"/>
      <c r="N3" s="7"/>
      <c r="O3" s="7"/>
      <c r="P3" s="7"/>
      <c r="Q3" s="7"/>
      <c r="R3" s="7"/>
      <c r="S3" s="7"/>
      <c r="T3" s="7"/>
      <c r="U3" s="7"/>
      <c r="V3" s="7"/>
      <c r="W3" s="7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6"/>
      <c r="AK3" s="86"/>
      <c r="AL3" s="86"/>
      <c r="AM3" s="7"/>
    </row>
    <row r="4" spans="1:39" x14ac:dyDescent="0.25">
      <c r="A4" s="3" t="s">
        <v>56</v>
      </c>
      <c r="B4">
        <v>0</v>
      </c>
      <c r="C4">
        <v>2</v>
      </c>
      <c r="D4">
        <v>5</v>
      </c>
      <c r="E4">
        <v>10</v>
      </c>
      <c r="F4">
        <v>3</v>
      </c>
      <c r="G4">
        <v>1</v>
      </c>
      <c r="H4">
        <v>2</v>
      </c>
      <c r="I4">
        <v>1</v>
      </c>
      <c r="J4" s="4">
        <f t="shared" ref="J4:J10" si="0">SUM(B4:I4)</f>
        <v>24</v>
      </c>
      <c r="K4" s="12">
        <f t="shared" ref="K4:K10" si="1">J4/J$11</f>
        <v>7.4999999999999997E-2</v>
      </c>
      <c r="M4" s="88"/>
      <c r="N4" s="7"/>
      <c r="O4" s="7"/>
      <c r="P4" s="7"/>
      <c r="Q4" s="7"/>
      <c r="R4" s="7"/>
      <c r="S4" s="7"/>
      <c r="T4" s="7"/>
      <c r="U4" s="7"/>
      <c r="V4" s="7"/>
      <c r="W4" s="7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6"/>
      <c r="AK4" s="86"/>
      <c r="AL4" s="86"/>
      <c r="AM4" s="7"/>
    </row>
    <row r="5" spans="1:39" x14ac:dyDescent="0.25">
      <c r="A5" t="s">
        <v>57</v>
      </c>
      <c r="B5">
        <v>0</v>
      </c>
      <c r="C5">
        <v>1</v>
      </c>
      <c r="D5">
        <v>8</v>
      </c>
      <c r="E5">
        <v>17</v>
      </c>
      <c r="F5">
        <v>4</v>
      </c>
      <c r="G5">
        <v>7</v>
      </c>
      <c r="H5">
        <v>2</v>
      </c>
      <c r="I5">
        <v>3</v>
      </c>
      <c r="J5" s="4">
        <f t="shared" si="0"/>
        <v>42</v>
      </c>
      <c r="K5" s="12">
        <f t="shared" si="1"/>
        <v>0.13125000000000001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6"/>
      <c r="AK5" s="86"/>
      <c r="AL5" s="86"/>
      <c r="AM5" s="7"/>
    </row>
    <row r="6" spans="1:39" x14ac:dyDescent="0.25">
      <c r="A6" t="s">
        <v>59</v>
      </c>
      <c r="B6">
        <v>0</v>
      </c>
      <c r="C6">
        <v>4</v>
      </c>
      <c r="D6">
        <v>13</v>
      </c>
      <c r="E6">
        <v>18</v>
      </c>
      <c r="F6">
        <v>20</v>
      </c>
      <c r="G6">
        <v>3</v>
      </c>
      <c r="H6">
        <v>2</v>
      </c>
      <c r="I6">
        <v>0</v>
      </c>
      <c r="J6" s="4">
        <f t="shared" si="0"/>
        <v>60</v>
      </c>
      <c r="K6" s="12">
        <f t="shared" si="1"/>
        <v>0.1875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6"/>
      <c r="AK6" s="86"/>
      <c r="AL6" s="86"/>
      <c r="AM6" s="7"/>
    </row>
    <row r="7" spans="1:39" x14ac:dyDescent="0.25">
      <c r="A7" t="s">
        <v>60</v>
      </c>
      <c r="B7">
        <v>1</v>
      </c>
      <c r="C7">
        <v>2</v>
      </c>
      <c r="D7">
        <v>22</v>
      </c>
      <c r="E7">
        <v>55</v>
      </c>
      <c r="F7">
        <v>10</v>
      </c>
      <c r="G7">
        <v>4</v>
      </c>
      <c r="H7">
        <v>1</v>
      </c>
      <c r="I7">
        <v>1</v>
      </c>
      <c r="J7" s="4">
        <f t="shared" si="0"/>
        <v>96</v>
      </c>
      <c r="K7" s="12">
        <f t="shared" si="1"/>
        <v>0.3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6"/>
      <c r="AK7" s="86"/>
      <c r="AL7" s="86"/>
      <c r="AM7" s="7"/>
    </row>
    <row r="8" spans="1:39" x14ac:dyDescent="0.25">
      <c r="A8" t="s">
        <v>62</v>
      </c>
      <c r="B8">
        <v>0</v>
      </c>
      <c r="C8">
        <v>2</v>
      </c>
      <c r="D8">
        <v>22</v>
      </c>
      <c r="E8">
        <v>17</v>
      </c>
      <c r="F8">
        <v>4</v>
      </c>
      <c r="G8">
        <v>1</v>
      </c>
      <c r="H8">
        <v>1</v>
      </c>
      <c r="I8">
        <v>0</v>
      </c>
      <c r="J8" s="4">
        <f t="shared" si="0"/>
        <v>47</v>
      </c>
      <c r="K8" s="12">
        <f t="shared" si="1"/>
        <v>0.14687500000000001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7"/>
    </row>
    <row r="9" spans="1:39" x14ac:dyDescent="0.25">
      <c r="A9" t="s">
        <v>63</v>
      </c>
      <c r="B9">
        <v>1</v>
      </c>
      <c r="C9">
        <v>6</v>
      </c>
      <c r="D9">
        <v>6</v>
      </c>
      <c r="E9">
        <v>4</v>
      </c>
      <c r="F9">
        <v>1</v>
      </c>
      <c r="G9">
        <v>0</v>
      </c>
      <c r="H9">
        <v>0</v>
      </c>
      <c r="I9">
        <v>0</v>
      </c>
      <c r="J9" s="4">
        <f t="shared" si="0"/>
        <v>18</v>
      </c>
      <c r="K9" s="12">
        <f t="shared" si="1"/>
        <v>5.6250000000000001E-2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7"/>
    </row>
    <row r="10" spans="1:39" x14ac:dyDescent="0.25">
      <c r="A10" t="s">
        <v>64</v>
      </c>
      <c r="B10">
        <v>4</v>
      </c>
      <c r="C10">
        <v>0</v>
      </c>
      <c r="D10">
        <v>2</v>
      </c>
      <c r="E10">
        <v>1</v>
      </c>
      <c r="F10">
        <v>0</v>
      </c>
      <c r="G10">
        <v>0</v>
      </c>
      <c r="H10">
        <v>0</v>
      </c>
      <c r="I10">
        <v>0</v>
      </c>
      <c r="J10" s="4">
        <f t="shared" si="0"/>
        <v>7</v>
      </c>
      <c r="K10" s="12">
        <f t="shared" si="1"/>
        <v>2.1874999999999999E-2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7"/>
    </row>
    <row r="11" spans="1:39" x14ac:dyDescent="0.25">
      <c r="A11" s="5" t="s">
        <v>65</v>
      </c>
      <c r="B11" s="6">
        <f>SUM(B3:B10)</f>
        <v>7</v>
      </c>
      <c r="C11" s="6">
        <f t="shared" ref="C11:I11" si="2">SUM(C3:C10)</f>
        <v>20</v>
      </c>
      <c r="D11" s="6">
        <f t="shared" si="2"/>
        <v>80</v>
      </c>
      <c r="E11" s="6">
        <f t="shared" si="2"/>
        <v>129</v>
      </c>
      <c r="F11" s="6">
        <f t="shared" si="2"/>
        <v>49</v>
      </c>
      <c r="G11" s="6">
        <f t="shared" si="2"/>
        <v>17</v>
      </c>
      <c r="H11" s="6">
        <f t="shared" si="2"/>
        <v>10</v>
      </c>
      <c r="I11" s="6">
        <f t="shared" si="2"/>
        <v>8</v>
      </c>
      <c r="J11" s="4">
        <f>SUM(J3:J10)</f>
        <v>320</v>
      </c>
      <c r="K11" s="4"/>
      <c r="M11" s="8"/>
      <c r="N11" s="7"/>
      <c r="O11" s="7"/>
      <c r="P11" s="7"/>
      <c r="Q11" s="7"/>
      <c r="R11" s="7"/>
      <c r="S11" s="7"/>
      <c r="T11" s="7"/>
      <c r="U11" s="7"/>
      <c r="V11" s="7"/>
      <c r="W11" s="7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7"/>
    </row>
    <row r="12" spans="1:39" x14ac:dyDescent="0.25">
      <c r="A12" s="5" t="s">
        <v>91</v>
      </c>
      <c r="B12" s="13">
        <f>B11/$J$11</f>
        <v>2.1874999999999999E-2</v>
      </c>
      <c r="C12" s="13">
        <f t="shared" ref="C12:I12" si="3">C11/$J$11</f>
        <v>6.25E-2</v>
      </c>
      <c r="D12" s="13">
        <f t="shared" si="3"/>
        <v>0.25</v>
      </c>
      <c r="E12" s="13">
        <f t="shared" si="3"/>
        <v>0.40312500000000001</v>
      </c>
      <c r="F12" s="13">
        <f t="shared" si="3"/>
        <v>0.15312500000000001</v>
      </c>
      <c r="G12" s="13">
        <f t="shared" si="3"/>
        <v>5.3124999999999999E-2</v>
      </c>
      <c r="H12" s="13">
        <f t="shared" si="3"/>
        <v>3.125E-2</v>
      </c>
      <c r="I12" s="13">
        <f t="shared" si="3"/>
        <v>2.5000000000000001E-2</v>
      </c>
      <c r="J12" s="19">
        <f>SUM(B12:I12)</f>
        <v>1</v>
      </c>
      <c r="K12" s="4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x14ac:dyDescent="0.25">
      <c r="A13" s="5" t="s">
        <v>88</v>
      </c>
      <c r="B13" s="6" t="s">
        <v>64</v>
      </c>
      <c r="C13" s="6" t="s">
        <v>63</v>
      </c>
      <c r="D13" s="6" t="s">
        <v>62</v>
      </c>
      <c r="E13" s="6" t="s">
        <v>60</v>
      </c>
      <c r="F13" s="6" t="s">
        <v>59</v>
      </c>
      <c r="G13" s="6" t="s">
        <v>57</v>
      </c>
      <c r="H13" s="6" t="s">
        <v>89</v>
      </c>
      <c r="I13" s="6" t="s">
        <v>55</v>
      </c>
      <c r="J13" s="4"/>
      <c r="K13" s="4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39" x14ac:dyDescent="0.25">
      <c r="A14" s="8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39" x14ac:dyDescent="0.25">
      <c r="A15" s="1" t="s">
        <v>61</v>
      </c>
      <c r="J15" s="4"/>
      <c r="K15" s="4"/>
      <c r="L15" s="7"/>
      <c r="M15" s="8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x14ac:dyDescent="0.25">
      <c r="A16" s="2" t="s">
        <v>55</v>
      </c>
      <c r="B16" s="28">
        <f t="shared" ref="B16:I16" si="4">B3/$J$11</f>
        <v>3.1250000000000002E-3</v>
      </c>
      <c r="C16" s="28">
        <f t="shared" si="4"/>
        <v>9.3749999999999997E-3</v>
      </c>
      <c r="D16" s="28">
        <f t="shared" si="4"/>
        <v>6.2500000000000003E-3</v>
      </c>
      <c r="E16" s="28">
        <f t="shared" si="4"/>
        <v>2.1874999999999999E-2</v>
      </c>
      <c r="F16" s="28">
        <f t="shared" si="4"/>
        <v>2.1874999999999999E-2</v>
      </c>
      <c r="G16" s="28">
        <f t="shared" si="4"/>
        <v>3.1250000000000002E-3</v>
      </c>
      <c r="H16" s="28">
        <f t="shared" si="4"/>
        <v>6.2500000000000003E-3</v>
      </c>
      <c r="I16" s="28">
        <f t="shared" si="4"/>
        <v>9.3749999999999997E-3</v>
      </c>
      <c r="J16" s="31">
        <f>SUM(B16:I16)</f>
        <v>8.1250000000000003E-2</v>
      </c>
      <c r="K16" s="31"/>
      <c r="L16" s="7"/>
      <c r="M16" s="87"/>
      <c r="N16" s="89"/>
      <c r="O16" s="89"/>
      <c r="P16" s="89"/>
      <c r="Q16" s="89"/>
      <c r="R16" s="89"/>
      <c r="S16" s="89"/>
      <c r="T16" s="89"/>
      <c r="U16" s="89"/>
      <c r="V16" s="14"/>
      <c r="W16" s="7"/>
      <c r="X16" s="90"/>
      <c r="Y16" s="7"/>
      <c r="Z16" s="7"/>
      <c r="AA16" s="7"/>
      <c r="AB16" s="7"/>
      <c r="AC16" s="7"/>
      <c r="AD16" s="90"/>
      <c r="AE16" s="7"/>
      <c r="AF16" s="7"/>
      <c r="AG16" s="7"/>
      <c r="AH16" s="7"/>
      <c r="AI16" s="7"/>
      <c r="AJ16" s="7"/>
      <c r="AK16" s="7"/>
      <c r="AL16" s="7"/>
      <c r="AM16" s="7"/>
    </row>
    <row r="17" spans="1:39" x14ac:dyDescent="0.25">
      <c r="A17" s="3" t="s">
        <v>56</v>
      </c>
      <c r="B17" s="28">
        <f t="shared" ref="B17:I23" si="5">B4/$J$11</f>
        <v>0</v>
      </c>
      <c r="C17" s="28">
        <f t="shared" si="5"/>
        <v>6.2500000000000003E-3</v>
      </c>
      <c r="D17" s="28">
        <f t="shared" si="5"/>
        <v>1.5625E-2</v>
      </c>
      <c r="E17" s="28">
        <f t="shared" si="5"/>
        <v>3.125E-2</v>
      </c>
      <c r="F17" s="28">
        <f t="shared" si="5"/>
        <v>9.3749999999999997E-3</v>
      </c>
      <c r="G17" s="28">
        <f t="shared" si="5"/>
        <v>3.1250000000000002E-3</v>
      </c>
      <c r="H17" s="28">
        <f t="shared" si="5"/>
        <v>6.2500000000000003E-3</v>
      </c>
      <c r="I17" s="28">
        <f t="shared" si="5"/>
        <v>3.1250000000000002E-3</v>
      </c>
      <c r="J17" s="31">
        <f t="shared" ref="J17:J23" si="6">SUM(B17:I17)</f>
        <v>7.5000000000000011E-2</v>
      </c>
      <c r="K17" s="31"/>
      <c r="L17" s="7"/>
      <c r="M17" s="88"/>
      <c r="N17" s="89"/>
      <c r="O17" s="89"/>
      <c r="P17" s="89"/>
      <c r="Q17" s="89"/>
      <c r="R17" s="89"/>
      <c r="S17" s="89"/>
      <c r="T17" s="89"/>
      <c r="U17" s="89"/>
      <c r="V17" s="14"/>
      <c r="W17" s="7"/>
      <c r="X17" s="7"/>
      <c r="Y17" s="91"/>
      <c r="Z17" s="91"/>
      <c r="AA17" s="91"/>
      <c r="AB17" s="7"/>
      <c r="AC17" s="7"/>
      <c r="AD17" s="7"/>
      <c r="AE17" s="91"/>
      <c r="AF17" s="91"/>
      <c r="AG17" s="91"/>
      <c r="AH17" s="7"/>
      <c r="AI17" s="7"/>
      <c r="AJ17" s="7"/>
      <c r="AK17" s="7"/>
      <c r="AL17" s="7"/>
      <c r="AM17" s="7"/>
    </row>
    <row r="18" spans="1:39" x14ac:dyDescent="0.25">
      <c r="A18" t="s">
        <v>57</v>
      </c>
      <c r="B18" s="28">
        <f t="shared" si="5"/>
        <v>0</v>
      </c>
      <c r="C18" s="28">
        <f t="shared" si="5"/>
        <v>3.1250000000000002E-3</v>
      </c>
      <c r="D18" s="28">
        <f t="shared" si="5"/>
        <v>2.5000000000000001E-2</v>
      </c>
      <c r="E18" s="28">
        <f t="shared" si="5"/>
        <v>5.3124999999999999E-2</v>
      </c>
      <c r="F18" s="28">
        <f t="shared" si="5"/>
        <v>1.2500000000000001E-2</v>
      </c>
      <c r="G18" s="28">
        <f t="shared" si="5"/>
        <v>2.1874999999999999E-2</v>
      </c>
      <c r="H18" s="28">
        <f t="shared" si="5"/>
        <v>6.2500000000000003E-3</v>
      </c>
      <c r="I18" s="28">
        <f t="shared" si="5"/>
        <v>9.3749999999999997E-3</v>
      </c>
      <c r="J18" s="31">
        <f t="shared" si="6"/>
        <v>0.13125000000000001</v>
      </c>
      <c r="K18" s="31"/>
      <c r="L18" s="7"/>
      <c r="M18" s="7"/>
      <c r="N18" s="89"/>
      <c r="O18" s="89"/>
      <c r="P18" s="89"/>
      <c r="Q18" s="89"/>
      <c r="R18" s="89"/>
      <c r="S18" s="89"/>
      <c r="T18" s="89"/>
      <c r="U18" s="89"/>
      <c r="V18" s="14"/>
      <c r="W18" s="7"/>
      <c r="X18" s="7"/>
      <c r="Y18" s="91"/>
      <c r="Z18" s="91"/>
      <c r="AA18" s="91"/>
      <c r="AB18" s="7"/>
      <c r="AC18" s="7"/>
      <c r="AD18" s="7"/>
      <c r="AE18" s="91"/>
      <c r="AF18" s="91"/>
      <c r="AG18" s="91"/>
      <c r="AH18" s="7"/>
      <c r="AI18" s="7"/>
      <c r="AJ18" s="7"/>
      <c r="AK18" s="7"/>
      <c r="AL18" s="7"/>
      <c r="AM18" s="7"/>
    </row>
    <row r="19" spans="1:39" x14ac:dyDescent="0.25">
      <c r="A19" t="s">
        <v>59</v>
      </c>
      <c r="B19" s="28">
        <f t="shared" si="5"/>
        <v>0</v>
      </c>
      <c r="C19" s="28">
        <f t="shared" si="5"/>
        <v>1.2500000000000001E-2</v>
      </c>
      <c r="D19" s="28">
        <f t="shared" si="5"/>
        <v>4.0625000000000001E-2</v>
      </c>
      <c r="E19" s="28">
        <f t="shared" si="5"/>
        <v>5.6250000000000001E-2</v>
      </c>
      <c r="F19" s="28">
        <f t="shared" si="5"/>
        <v>6.25E-2</v>
      </c>
      <c r="G19" s="28">
        <f t="shared" si="5"/>
        <v>9.3749999999999997E-3</v>
      </c>
      <c r="H19" s="28">
        <f t="shared" si="5"/>
        <v>6.2500000000000003E-3</v>
      </c>
      <c r="I19" s="28">
        <f t="shared" si="5"/>
        <v>0</v>
      </c>
      <c r="J19" s="31">
        <f t="shared" si="6"/>
        <v>0.1875</v>
      </c>
      <c r="K19" s="31"/>
      <c r="L19" s="7"/>
      <c r="M19" s="7"/>
      <c r="N19" s="89"/>
      <c r="O19" s="89"/>
      <c r="P19" s="89"/>
      <c r="Q19" s="89"/>
      <c r="R19" s="89"/>
      <c r="S19" s="89"/>
      <c r="T19" s="89"/>
      <c r="U19" s="89"/>
      <c r="V19" s="14"/>
      <c r="W19" s="7"/>
      <c r="X19" s="7"/>
      <c r="Y19" s="91"/>
      <c r="Z19" s="91"/>
      <c r="AA19" s="91"/>
      <c r="AB19" s="7"/>
      <c r="AC19" s="7"/>
      <c r="AD19" s="7"/>
      <c r="AE19" s="91"/>
      <c r="AF19" s="91"/>
      <c r="AG19" s="91"/>
      <c r="AH19" s="7"/>
      <c r="AI19" s="7"/>
      <c r="AJ19" s="7"/>
      <c r="AK19" s="7"/>
      <c r="AL19" s="7"/>
      <c r="AM19" s="7"/>
    </row>
    <row r="20" spans="1:39" x14ac:dyDescent="0.25">
      <c r="A20" t="s">
        <v>60</v>
      </c>
      <c r="B20" s="28">
        <f t="shared" si="5"/>
        <v>3.1250000000000002E-3</v>
      </c>
      <c r="C20" s="28">
        <f t="shared" si="5"/>
        <v>6.2500000000000003E-3</v>
      </c>
      <c r="D20" s="28">
        <f t="shared" si="5"/>
        <v>6.8750000000000006E-2</v>
      </c>
      <c r="E20" s="28">
        <f t="shared" si="5"/>
        <v>0.171875</v>
      </c>
      <c r="F20" s="28">
        <f t="shared" si="5"/>
        <v>3.125E-2</v>
      </c>
      <c r="G20" s="28">
        <f t="shared" si="5"/>
        <v>1.2500000000000001E-2</v>
      </c>
      <c r="H20" s="28">
        <f t="shared" si="5"/>
        <v>3.1250000000000002E-3</v>
      </c>
      <c r="I20" s="28">
        <f t="shared" si="5"/>
        <v>3.1250000000000002E-3</v>
      </c>
      <c r="J20" s="31">
        <f t="shared" si="6"/>
        <v>0.3</v>
      </c>
      <c r="K20" s="31"/>
      <c r="L20" s="7"/>
      <c r="M20" s="7"/>
      <c r="N20" s="89"/>
      <c r="O20" s="89"/>
      <c r="P20" s="89"/>
      <c r="Q20" s="89"/>
      <c r="R20" s="89"/>
      <c r="S20" s="89"/>
      <c r="T20" s="89"/>
      <c r="U20" s="89"/>
      <c r="V20" s="14"/>
      <c r="W20" s="7"/>
      <c r="X20" s="7"/>
      <c r="Y20" s="91"/>
      <c r="Z20" s="91"/>
      <c r="AA20" s="91"/>
      <c r="AB20" s="7"/>
      <c r="AC20" s="7"/>
      <c r="AD20" s="7"/>
      <c r="AE20" s="91"/>
      <c r="AF20" s="91"/>
      <c r="AG20" s="91"/>
      <c r="AH20" s="7"/>
      <c r="AI20" s="7"/>
      <c r="AJ20" s="7"/>
      <c r="AK20" s="7"/>
      <c r="AL20" s="7"/>
      <c r="AM20" s="7"/>
    </row>
    <row r="21" spans="1:39" x14ac:dyDescent="0.25">
      <c r="A21" t="s">
        <v>62</v>
      </c>
      <c r="B21" s="28">
        <f t="shared" si="5"/>
        <v>0</v>
      </c>
      <c r="C21" s="28">
        <f t="shared" si="5"/>
        <v>6.2500000000000003E-3</v>
      </c>
      <c r="D21" s="28">
        <f t="shared" si="5"/>
        <v>6.8750000000000006E-2</v>
      </c>
      <c r="E21" s="28">
        <f t="shared" si="5"/>
        <v>5.3124999999999999E-2</v>
      </c>
      <c r="F21" s="28">
        <f t="shared" si="5"/>
        <v>1.2500000000000001E-2</v>
      </c>
      <c r="G21" s="28">
        <f t="shared" si="5"/>
        <v>3.1250000000000002E-3</v>
      </c>
      <c r="H21" s="28">
        <f t="shared" si="5"/>
        <v>3.1250000000000002E-3</v>
      </c>
      <c r="I21" s="28">
        <f t="shared" si="5"/>
        <v>0</v>
      </c>
      <c r="J21" s="31">
        <f t="shared" si="6"/>
        <v>0.14687500000000001</v>
      </c>
      <c r="K21" s="31"/>
      <c r="L21" s="7"/>
      <c r="M21" s="7"/>
      <c r="N21" s="89"/>
      <c r="O21" s="89"/>
      <c r="P21" s="89"/>
      <c r="Q21" s="89"/>
      <c r="R21" s="89"/>
      <c r="S21" s="89"/>
      <c r="T21" s="89"/>
      <c r="U21" s="89"/>
      <c r="V21" s="14"/>
      <c r="W21" s="7"/>
      <c r="X21" s="7"/>
      <c r="Y21" s="91"/>
      <c r="Z21" s="91"/>
      <c r="AA21" s="91"/>
      <c r="AB21" s="7"/>
      <c r="AC21" s="7"/>
      <c r="AD21" s="7"/>
      <c r="AE21" s="91"/>
      <c r="AF21" s="91"/>
      <c r="AG21" s="91"/>
      <c r="AH21" s="7"/>
      <c r="AI21" s="7"/>
      <c r="AJ21" s="7"/>
      <c r="AK21" s="7"/>
      <c r="AL21" s="7"/>
      <c r="AM21" s="7"/>
    </row>
    <row r="22" spans="1:39" x14ac:dyDescent="0.25">
      <c r="A22" t="s">
        <v>63</v>
      </c>
      <c r="B22" s="28">
        <f t="shared" si="5"/>
        <v>3.1250000000000002E-3</v>
      </c>
      <c r="C22" s="28">
        <f t="shared" si="5"/>
        <v>1.8749999999999999E-2</v>
      </c>
      <c r="D22" s="28">
        <f t="shared" si="5"/>
        <v>1.8749999999999999E-2</v>
      </c>
      <c r="E22" s="28">
        <f t="shared" si="5"/>
        <v>1.2500000000000001E-2</v>
      </c>
      <c r="F22" s="28">
        <f t="shared" si="5"/>
        <v>3.1250000000000002E-3</v>
      </c>
      <c r="G22" s="28">
        <f t="shared" si="5"/>
        <v>0</v>
      </c>
      <c r="H22" s="28">
        <f t="shared" si="5"/>
        <v>0</v>
      </c>
      <c r="I22" s="28">
        <f t="shared" si="5"/>
        <v>0</v>
      </c>
      <c r="J22" s="31">
        <f t="shared" si="6"/>
        <v>5.6249999999999994E-2</v>
      </c>
      <c r="K22" s="31"/>
      <c r="L22" s="7"/>
      <c r="M22" s="7"/>
      <c r="N22" s="89"/>
      <c r="O22" s="89"/>
      <c r="P22" s="89"/>
      <c r="Q22" s="89"/>
      <c r="R22" s="89"/>
      <c r="S22" s="89"/>
      <c r="T22" s="89"/>
      <c r="U22" s="89"/>
      <c r="V22" s="14"/>
      <c r="W22" s="7"/>
      <c r="X22" s="7"/>
      <c r="Y22" s="91"/>
      <c r="Z22" s="91"/>
      <c r="AA22" s="91"/>
      <c r="AB22" s="7"/>
      <c r="AC22" s="7"/>
      <c r="AD22" s="7"/>
      <c r="AE22" s="91"/>
      <c r="AF22" s="91"/>
      <c r="AG22" s="91"/>
      <c r="AH22" s="7"/>
      <c r="AI22" s="7"/>
      <c r="AJ22" s="7"/>
      <c r="AK22" s="7"/>
      <c r="AL22" s="7"/>
      <c r="AM22" s="7"/>
    </row>
    <row r="23" spans="1:39" x14ac:dyDescent="0.25">
      <c r="A23" t="s">
        <v>64</v>
      </c>
      <c r="B23" s="28">
        <f t="shared" si="5"/>
        <v>1.2500000000000001E-2</v>
      </c>
      <c r="C23" s="28">
        <f t="shared" si="5"/>
        <v>0</v>
      </c>
      <c r="D23" s="28">
        <f t="shared" si="5"/>
        <v>6.2500000000000003E-3</v>
      </c>
      <c r="E23" s="28">
        <f t="shared" si="5"/>
        <v>3.1250000000000002E-3</v>
      </c>
      <c r="F23" s="28">
        <f t="shared" si="5"/>
        <v>0</v>
      </c>
      <c r="G23" s="28">
        <f t="shared" si="5"/>
        <v>0</v>
      </c>
      <c r="H23" s="28">
        <f t="shared" si="5"/>
        <v>0</v>
      </c>
      <c r="I23" s="28">
        <f t="shared" si="5"/>
        <v>0</v>
      </c>
      <c r="J23" s="31">
        <f t="shared" si="6"/>
        <v>2.1875000000000002E-2</v>
      </c>
      <c r="K23" s="31"/>
      <c r="L23" s="7"/>
      <c r="M23" s="7"/>
      <c r="N23" s="89"/>
      <c r="O23" s="89"/>
      <c r="P23" s="89"/>
      <c r="Q23" s="89"/>
      <c r="R23" s="89"/>
      <c r="S23" s="89"/>
      <c r="T23" s="89"/>
      <c r="U23" s="89"/>
      <c r="V23" s="14"/>
      <c r="W23" s="7"/>
      <c r="X23" s="7"/>
      <c r="Y23" s="91"/>
      <c r="Z23" s="91"/>
      <c r="AA23" s="91"/>
      <c r="AB23" s="7"/>
      <c r="AC23" s="7"/>
      <c r="AD23" s="7"/>
      <c r="AE23" s="91"/>
      <c r="AF23" s="91"/>
      <c r="AG23" s="91"/>
      <c r="AH23" s="7"/>
      <c r="AI23" s="7"/>
      <c r="AJ23" s="7"/>
      <c r="AK23" s="7"/>
      <c r="AL23" s="7"/>
      <c r="AM23" s="7"/>
    </row>
    <row r="24" spans="1:39" x14ac:dyDescent="0.25">
      <c r="A24" s="5" t="s">
        <v>91</v>
      </c>
      <c r="B24" s="29">
        <f>SUM(B16:B23)</f>
        <v>2.1875000000000002E-2</v>
      </c>
      <c r="C24" s="29">
        <f t="shared" ref="C24:I24" si="7">SUM(C16:C23)</f>
        <v>6.25E-2</v>
      </c>
      <c r="D24" s="29">
        <f t="shared" si="7"/>
        <v>0.25</v>
      </c>
      <c r="E24" s="29">
        <f t="shared" si="7"/>
        <v>0.40312499999999996</v>
      </c>
      <c r="F24" s="29">
        <f t="shared" si="7"/>
        <v>0.15312500000000001</v>
      </c>
      <c r="G24" s="29">
        <f t="shared" si="7"/>
        <v>5.3125000000000006E-2</v>
      </c>
      <c r="H24" s="29">
        <f t="shared" si="7"/>
        <v>3.125E-2</v>
      </c>
      <c r="I24" s="29">
        <f t="shared" si="7"/>
        <v>2.4999999999999998E-2</v>
      </c>
      <c r="J24" s="30">
        <f>SUM(B24:I24)</f>
        <v>1</v>
      </c>
      <c r="K24" s="30"/>
      <c r="L24" s="7"/>
      <c r="M24" s="8"/>
      <c r="N24" s="14"/>
      <c r="O24" s="14"/>
      <c r="P24" s="14"/>
      <c r="Q24" s="14"/>
      <c r="R24" s="14"/>
      <c r="S24" s="14"/>
      <c r="T24" s="14"/>
      <c r="U24" s="14"/>
      <c r="V24" s="18"/>
      <c r="W24" s="7"/>
      <c r="X24" s="7"/>
      <c r="Y24" s="91"/>
      <c r="Z24" s="91"/>
      <c r="AA24" s="91"/>
      <c r="AB24" s="7"/>
      <c r="AC24" s="7"/>
      <c r="AD24" s="7"/>
      <c r="AE24" s="91"/>
      <c r="AF24" s="91"/>
      <c r="AG24" s="91"/>
      <c r="AH24" s="7"/>
      <c r="AI24" s="7"/>
      <c r="AJ24" s="7"/>
      <c r="AK24" s="7"/>
      <c r="AL24" s="7"/>
      <c r="AM24" s="7"/>
    </row>
    <row r="25" spans="1:39" s="7" customFormat="1" x14ac:dyDescent="0.25">
      <c r="A25" s="5" t="s">
        <v>88</v>
      </c>
      <c r="B25" s="33" t="s">
        <v>64</v>
      </c>
      <c r="C25" s="33" t="s">
        <v>63</v>
      </c>
      <c r="D25" s="33" t="s">
        <v>62</v>
      </c>
      <c r="E25" s="33" t="s">
        <v>60</v>
      </c>
      <c r="F25" s="33" t="s">
        <v>59</v>
      </c>
      <c r="G25" s="33" t="s">
        <v>57</v>
      </c>
      <c r="H25" s="33" t="s">
        <v>89</v>
      </c>
      <c r="I25" s="33" t="s">
        <v>55</v>
      </c>
      <c r="J25" s="30"/>
      <c r="K25" s="30"/>
      <c r="M25" s="8"/>
      <c r="X25" s="91"/>
      <c r="Y25" s="91"/>
      <c r="Z25" s="91"/>
      <c r="AA25" s="92"/>
      <c r="AD25" s="91"/>
      <c r="AE25" s="91"/>
      <c r="AF25" s="91"/>
      <c r="AG25" s="92"/>
    </row>
    <row r="26" spans="1:39" s="7" customFormat="1" x14ac:dyDescent="0.25">
      <c r="A26" s="8"/>
      <c r="M26" s="8"/>
    </row>
    <row r="27" spans="1:39" s="7" customFormat="1" x14ac:dyDescent="0.25">
      <c r="A27" s="8" t="s">
        <v>103</v>
      </c>
      <c r="G27" s="8" t="s">
        <v>104</v>
      </c>
      <c r="M27" s="8"/>
      <c r="S27" s="7" t="s">
        <v>255</v>
      </c>
      <c r="U27" s="7" t="s">
        <v>257</v>
      </c>
    </row>
    <row r="28" spans="1:39" x14ac:dyDescent="0.25">
      <c r="A28" s="8" t="s">
        <v>67</v>
      </c>
      <c r="B28" s="7" t="s">
        <v>68</v>
      </c>
      <c r="C28" s="7" t="s">
        <v>69</v>
      </c>
      <c r="D28" s="7" t="s">
        <v>70</v>
      </c>
      <c r="E28" s="7" t="s">
        <v>69</v>
      </c>
      <c r="F28" s="7"/>
      <c r="G28" s="8" t="s">
        <v>102</v>
      </c>
      <c r="H28" s="7" t="s">
        <v>68</v>
      </c>
      <c r="I28" s="7" t="s">
        <v>69</v>
      </c>
      <c r="J28" s="7" t="s">
        <v>70</v>
      </c>
      <c r="K28" s="7" t="s">
        <v>69</v>
      </c>
      <c r="M28" s="8"/>
      <c r="N28" s="7" t="s">
        <v>68</v>
      </c>
      <c r="O28" s="7" t="s">
        <v>69</v>
      </c>
      <c r="P28" s="7" t="s">
        <v>70</v>
      </c>
      <c r="Q28" s="7" t="s">
        <v>69</v>
      </c>
      <c r="R28" s="7"/>
      <c r="S28" s="7"/>
      <c r="T28" s="7"/>
      <c r="U28" s="7" t="s">
        <v>68</v>
      </c>
      <c r="V28" s="7" t="s">
        <v>69</v>
      </c>
    </row>
    <row r="29" spans="1:39" x14ac:dyDescent="0.25">
      <c r="A29" t="s">
        <v>71</v>
      </c>
      <c r="B29">
        <f>J11</f>
        <v>320</v>
      </c>
      <c r="C29" s="9">
        <f>B29/B29</f>
        <v>1</v>
      </c>
      <c r="D29">
        <v>64</v>
      </c>
      <c r="E29" s="9">
        <f>D29/D29</f>
        <v>1</v>
      </c>
      <c r="G29" t="s">
        <v>71</v>
      </c>
      <c r="H29">
        <f>J11</f>
        <v>320</v>
      </c>
      <c r="I29" s="9">
        <f t="shared" ref="I29:I39" si="8">H29/$H$29</f>
        <v>1</v>
      </c>
      <c r="J29">
        <v>64</v>
      </c>
      <c r="K29" s="9">
        <f>J29/J29</f>
        <v>1</v>
      </c>
      <c r="M29" t="s">
        <v>197</v>
      </c>
      <c r="N29" s="36">
        <v>320</v>
      </c>
      <c r="O29" s="9">
        <v>1</v>
      </c>
      <c r="P29">
        <v>64</v>
      </c>
      <c r="Q29" s="9">
        <v>1</v>
      </c>
      <c r="R29" t="s">
        <v>196</v>
      </c>
      <c r="S29">
        <f>H29+'Version 6 (GE)'!H29</f>
        <v>644</v>
      </c>
      <c r="U29">
        <f>H29+'Version 4 (LI)'!H29</f>
        <v>680</v>
      </c>
      <c r="V29" s="7">
        <v>100</v>
      </c>
    </row>
    <row r="30" spans="1:39" x14ac:dyDescent="0.25">
      <c r="A30" t="s">
        <v>66</v>
      </c>
      <c r="B30">
        <f>B3+C3+B4</f>
        <v>4</v>
      </c>
      <c r="C30" s="11">
        <f t="shared" ref="C30:C39" si="9">B30/B$29</f>
        <v>1.2500000000000001E-2</v>
      </c>
      <c r="D30">
        <v>3</v>
      </c>
      <c r="E30" s="9">
        <f t="shared" ref="E30:E39" si="10">D30/D$29</f>
        <v>4.6875E-2</v>
      </c>
      <c r="G30" t="s">
        <v>116</v>
      </c>
      <c r="H30">
        <f>B3</f>
        <v>1</v>
      </c>
      <c r="I30" s="9">
        <f t="shared" si="8"/>
        <v>3.1250000000000002E-3</v>
      </c>
      <c r="J30">
        <v>1</v>
      </c>
      <c r="K30" s="9">
        <f t="shared" ref="K30:K39" si="11">J30/J$29</f>
        <v>1.5625E-2</v>
      </c>
      <c r="N30" s="36"/>
      <c r="O30" s="11"/>
      <c r="Q30" s="9"/>
      <c r="V30" s="7"/>
    </row>
    <row r="31" spans="1:39" x14ac:dyDescent="0.25">
      <c r="A31" t="s">
        <v>72</v>
      </c>
      <c r="B31">
        <f>B3+B4+C3+C4+C5+D4+D5+D6+E5+E6+E7+F6</f>
        <v>143</v>
      </c>
      <c r="C31" s="11">
        <f t="shared" si="9"/>
        <v>0.44687500000000002</v>
      </c>
      <c r="D31">
        <v>12</v>
      </c>
      <c r="E31" s="9">
        <f t="shared" si="10"/>
        <v>0.1875</v>
      </c>
      <c r="G31" t="s">
        <v>117</v>
      </c>
      <c r="H31">
        <f>B3+C4+D5+E6</f>
        <v>29</v>
      </c>
      <c r="I31" s="9">
        <f t="shared" si="8"/>
        <v>9.0624999999999997E-2</v>
      </c>
      <c r="J31">
        <v>4</v>
      </c>
      <c r="K31" s="9">
        <f t="shared" si="11"/>
        <v>6.25E-2</v>
      </c>
      <c r="N31" s="36"/>
      <c r="O31" s="11"/>
      <c r="Q31" s="9"/>
      <c r="V31" s="7"/>
    </row>
    <row r="32" spans="1:39" x14ac:dyDescent="0.25">
      <c r="A32" t="s">
        <v>73</v>
      </c>
      <c r="B32">
        <f>SUM(B3:B7, C3:C7, D3:D7, E3:E7, F3:F6)</f>
        <v>205</v>
      </c>
      <c r="C32" s="11">
        <f t="shared" si="9"/>
        <v>0.640625</v>
      </c>
      <c r="D32">
        <v>24</v>
      </c>
      <c r="E32" s="9">
        <f t="shared" si="10"/>
        <v>0.375</v>
      </c>
      <c r="G32" t="s">
        <v>118</v>
      </c>
      <c r="H32">
        <f>SUM(B3:B6) + SUM(C3:C6) + SUM(D3:D6) + SUM(E3:E6)</f>
        <v>91</v>
      </c>
      <c r="I32" s="28">
        <f t="shared" si="8"/>
        <v>0.28437499999999999</v>
      </c>
      <c r="J32">
        <v>16</v>
      </c>
      <c r="K32" s="9">
        <f t="shared" si="11"/>
        <v>0.25</v>
      </c>
      <c r="M32" t="s">
        <v>251</v>
      </c>
      <c r="N32" s="36">
        <f>H32-E6</f>
        <v>73</v>
      </c>
      <c r="O32" s="11">
        <f>N32/N29</f>
        <v>0.22812499999999999</v>
      </c>
      <c r="P32">
        <v>15</v>
      </c>
      <c r="Q32" s="9">
        <f>P32/$P$29</f>
        <v>0.234375</v>
      </c>
      <c r="R32" t="s">
        <v>118</v>
      </c>
      <c r="S32" s="47">
        <f>(H32+'Version 6 (GE)'!H32)/S29</f>
        <v>0.29503105590062112</v>
      </c>
      <c r="U32">
        <f>H32+'Version 4 (LI)'!H32</f>
        <v>189</v>
      </c>
      <c r="V32" s="56">
        <f>U32/U$29</f>
        <v>0.27794117647058825</v>
      </c>
    </row>
    <row r="33" spans="1:22" x14ac:dyDescent="0.25">
      <c r="A33" t="s">
        <v>74</v>
      </c>
      <c r="B33">
        <f>SUM(B3:B10, C3:C9, D3:D8, E3:E7, F3:F6, G3:G5, H3:H4, I3)</f>
        <v>256</v>
      </c>
      <c r="C33" s="11">
        <f t="shared" si="9"/>
        <v>0.8</v>
      </c>
      <c r="D33">
        <v>36</v>
      </c>
      <c r="E33" s="9">
        <f t="shared" si="10"/>
        <v>0.5625</v>
      </c>
      <c r="G33" t="s">
        <v>119</v>
      </c>
      <c r="H33">
        <f>SUM(B3:B9)+SUM(C3:C8)+SUM(D3:D7)+SUM(E3:E6)+SUM(F3:F5)+SUM(G3:G4)+H3</f>
        <v>137</v>
      </c>
      <c r="I33" s="28">
        <f t="shared" si="8"/>
        <v>0.42812499999999998</v>
      </c>
      <c r="J33">
        <v>28</v>
      </c>
      <c r="K33" s="9">
        <f t="shared" si="11"/>
        <v>0.4375</v>
      </c>
      <c r="M33" t="s">
        <v>252</v>
      </c>
      <c r="N33" s="36">
        <f>H33-E6</f>
        <v>119</v>
      </c>
      <c r="O33" s="11">
        <f>N33/N29</f>
        <v>0.37187500000000001</v>
      </c>
      <c r="P33">
        <v>27</v>
      </c>
      <c r="Q33" s="9">
        <f>P33/$P$29</f>
        <v>0.421875</v>
      </c>
      <c r="R33" t="s">
        <v>119</v>
      </c>
      <c r="S33" s="47">
        <f>(H33+'Version 6 (GE)'!H33)/$S$29</f>
        <v>0.43167701863354035</v>
      </c>
      <c r="U33">
        <f>H33+'Version 4 (LI)'!H33</f>
        <v>294</v>
      </c>
      <c r="V33" s="56">
        <f t="shared" ref="V33:V39" si="12">U33/U$29</f>
        <v>0.43235294117647061</v>
      </c>
    </row>
    <row r="34" spans="1:22" x14ac:dyDescent="0.25">
      <c r="A34" t="s">
        <v>75</v>
      </c>
      <c r="B34">
        <f>SUM(B9:B10, C8:C10, D7:D9, E6:E8, F5:F7, G4:G6, H3:H5, I3:I4)</f>
        <v>208</v>
      </c>
      <c r="C34" s="11">
        <f t="shared" si="9"/>
        <v>0.65</v>
      </c>
      <c r="D34">
        <v>22</v>
      </c>
      <c r="E34" s="9">
        <f t="shared" si="10"/>
        <v>0.34375</v>
      </c>
      <c r="G34" t="s">
        <v>120</v>
      </c>
      <c r="H34">
        <f>B10+C9+D8+E7+F6+G5+H4+I3+E6+F7</f>
        <v>147</v>
      </c>
      <c r="I34" s="52">
        <f t="shared" si="8"/>
        <v>0.45937499999999998</v>
      </c>
      <c r="J34">
        <v>10</v>
      </c>
      <c r="K34" s="9">
        <f t="shared" si="11"/>
        <v>0.15625</v>
      </c>
      <c r="N34" s="36"/>
      <c r="O34" s="11"/>
      <c r="Q34" s="9"/>
      <c r="R34" t="s">
        <v>120</v>
      </c>
      <c r="S34" s="47">
        <f>(H34+'Version 6 (GE)'!H34)/$S$29</f>
        <v>0.4891304347826087</v>
      </c>
      <c r="U34">
        <f>H34+'Version 4 (LI)'!H34</f>
        <v>331</v>
      </c>
      <c r="V34" s="56">
        <f t="shared" si="12"/>
        <v>0.48676470588235293</v>
      </c>
    </row>
    <row r="35" spans="1:22" x14ac:dyDescent="0.25">
      <c r="A35" t="s">
        <v>76</v>
      </c>
      <c r="B35">
        <f>SUM(E6:E7, F6:F7)</f>
        <v>103</v>
      </c>
      <c r="C35" s="11">
        <f t="shared" si="9"/>
        <v>0.32187500000000002</v>
      </c>
      <c r="D35">
        <v>4</v>
      </c>
      <c r="E35" s="9">
        <f t="shared" si="10"/>
        <v>6.25E-2</v>
      </c>
      <c r="G35" t="s">
        <v>121</v>
      </c>
      <c r="H35">
        <f>E7+F6</f>
        <v>75</v>
      </c>
      <c r="I35" s="22">
        <f t="shared" si="8"/>
        <v>0.234375</v>
      </c>
      <c r="J35">
        <v>2</v>
      </c>
      <c r="K35" s="9">
        <f t="shared" si="11"/>
        <v>3.125E-2</v>
      </c>
      <c r="N35" s="36"/>
      <c r="O35" s="11"/>
      <c r="Q35" s="9"/>
      <c r="R35" t="s">
        <v>76</v>
      </c>
      <c r="S35" s="47">
        <f>(B35+'Version 6 (GE)'!B35)/$S$29</f>
        <v>0.35093167701863354</v>
      </c>
      <c r="U35">
        <f>B35+'Version 4 (LI)'!B35</f>
        <v>232</v>
      </c>
      <c r="V35" s="56">
        <f t="shared" si="12"/>
        <v>0.3411764705882353</v>
      </c>
    </row>
    <row r="36" spans="1:22" x14ac:dyDescent="0.25">
      <c r="A36" t="s">
        <v>200</v>
      </c>
      <c r="B36">
        <f>I10</f>
        <v>0</v>
      </c>
      <c r="C36" s="11">
        <f t="shared" si="9"/>
        <v>0</v>
      </c>
      <c r="D36">
        <v>3</v>
      </c>
      <c r="E36" s="9">
        <f t="shared" si="10"/>
        <v>4.6875E-2</v>
      </c>
      <c r="G36" t="s">
        <v>198</v>
      </c>
      <c r="H36">
        <f>I10</f>
        <v>0</v>
      </c>
      <c r="I36" s="14">
        <f t="shared" si="8"/>
        <v>0</v>
      </c>
      <c r="J36">
        <v>1</v>
      </c>
      <c r="K36" s="9">
        <f t="shared" si="11"/>
        <v>1.5625E-2</v>
      </c>
      <c r="N36" s="36"/>
      <c r="O36" s="11"/>
      <c r="Q36" s="9"/>
      <c r="S36" s="47"/>
      <c r="V36" s="56"/>
    </row>
    <row r="37" spans="1:22" x14ac:dyDescent="0.25">
      <c r="A37" t="s">
        <v>134</v>
      </c>
      <c r="B37">
        <f>SUM(I9:I10,H8:H10, G7:G9, F6:F8,E7)</f>
        <v>95</v>
      </c>
      <c r="C37" s="11">
        <f t="shared" si="9"/>
        <v>0.296875</v>
      </c>
      <c r="D37">
        <v>12</v>
      </c>
      <c r="E37" s="9">
        <f t="shared" si="10"/>
        <v>0.1875</v>
      </c>
      <c r="G37" t="s">
        <v>1</v>
      </c>
      <c r="H37">
        <f>I10+H9+G8+F7</f>
        <v>11</v>
      </c>
      <c r="I37" s="14">
        <f t="shared" si="8"/>
        <v>3.4375000000000003E-2</v>
      </c>
      <c r="J37">
        <v>4</v>
      </c>
      <c r="K37" s="9">
        <f t="shared" si="11"/>
        <v>6.25E-2</v>
      </c>
      <c r="N37" s="36"/>
      <c r="O37" s="11"/>
      <c r="Q37" s="9"/>
      <c r="S37" s="47"/>
      <c r="V37" s="56"/>
    </row>
    <row r="38" spans="1:22" x14ac:dyDescent="0.25">
      <c r="A38" t="s">
        <v>135</v>
      </c>
      <c r="B38">
        <f>SUM(E10:I10, E9:I9, E8:I8, E7:I7, F6:I6)</f>
        <v>125</v>
      </c>
      <c r="C38" s="11">
        <f t="shared" si="9"/>
        <v>0.390625</v>
      </c>
      <c r="D38">
        <v>24</v>
      </c>
      <c r="E38" s="9">
        <f t="shared" si="10"/>
        <v>0.375</v>
      </c>
      <c r="G38" t="s">
        <v>137</v>
      </c>
      <c r="H38">
        <f>SUM(F10:I10, F9:I9, F8:I8, F7:I7)</f>
        <v>23</v>
      </c>
      <c r="I38" s="53">
        <f t="shared" si="8"/>
        <v>7.1874999999999994E-2</v>
      </c>
      <c r="J38">
        <v>16</v>
      </c>
      <c r="K38" s="9">
        <f t="shared" si="11"/>
        <v>0.25</v>
      </c>
      <c r="M38" t="s">
        <v>253</v>
      </c>
      <c r="N38" s="36">
        <f>H38-F7</f>
        <v>13</v>
      </c>
      <c r="O38" s="11">
        <f>N38/N29</f>
        <v>4.0625000000000001E-2</v>
      </c>
      <c r="P38">
        <v>15</v>
      </c>
      <c r="Q38" s="9">
        <f t="shared" ref="Q38:Q39" si="13">P38/$P$29</f>
        <v>0.234375</v>
      </c>
      <c r="R38" t="s">
        <v>137</v>
      </c>
      <c r="S38" s="47">
        <f>(H38+'Version 6 (GE)'!H38)/$S$29</f>
        <v>9.4720496894409936E-2</v>
      </c>
      <c r="U38">
        <f>H38+'Version 4 (LI)'!H38</f>
        <v>52</v>
      </c>
      <c r="V38" s="56">
        <f t="shared" si="12"/>
        <v>7.6470588235294124E-2</v>
      </c>
    </row>
    <row r="39" spans="1:22" x14ac:dyDescent="0.25">
      <c r="A39" t="s">
        <v>136</v>
      </c>
      <c r="B39">
        <f>SUM(B10:I10, C9:I9, D8:I8, E7:I7, F6:I6, G5:I5, H4:I4, I3)</f>
        <v>183</v>
      </c>
      <c r="C39" s="11">
        <f t="shared" si="9"/>
        <v>0.57187500000000002</v>
      </c>
      <c r="D39">
        <v>36</v>
      </c>
      <c r="E39" s="9">
        <f t="shared" si="10"/>
        <v>0.5625</v>
      </c>
      <c r="G39" t="s">
        <v>138</v>
      </c>
      <c r="H39">
        <f>SUM(C10:I10, D9:I9, E8:I8, F7:I7,G6:I6, H5:I5, I4)</f>
        <v>64</v>
      </c>
      <c r="I39" s="53">
        <f t="shared" si="8"/>
        <v>0.2</v>
      </c>
      <c r="J39">
        <v>28</v>
      </c>
      <c r="K39" s="9">
        <f t="shared" si="11"/>
        <v>0.4375</v>
      </c>
      <c r="M39" t="s">
        <v>254</v>
      </c>
      <c r="N39" s="36">
        <f>H39-F7</f>
        <v>54</v>
      </c>
      <c r="O39" s="11">
        <f>N39/N29</f>
        <v>0.16875000000000001</v>
      </c>
      <c r="P39">
        <v>27</v>
      </c>
      <c r="Q39" s="9">
        <f t="shared" si="13"/>
        <v>0.421875</v>
      </c>
      <c r="R39" t="s">
        <v>138</v>
      </c>
      <c r="S39" s="47">
        <f>(H39+'Version 6 (GE)'!H39)/$S$29</f>
        <v>0.20341614906832298</v>
      </c>
      <c r="U39">
        <f>H39+'Version 4 (LI)'!H39</f>
        <v>134</v>
      </c>
      <c r="V39" s="56">
        <f t="shared" si="12"/>
        <v>0.19705882352941176</v>
      </c>
    </row>
    <row r="40" spans="1:22" x14ac:dyDescent="0.25">
      <c r="C40" s="11"/>
      <c r="E40" s="9"/>
      <c r="I40" s="9"/>
      <c r="K40" s="9"/>
      <c r="O40" s="11"/>
      <c r="Q40" s="9"/>
      <c r="V40" s="7"/>
    </row>
    <row r="41" spans="1:22" x14ac:dyDescent="0.25">
      <c r="A41" t="s">
        <v>124</v>
      </c>
      <c r="B41">
        <f>B29-B35</f>
        <v>217</v>
      </c>
      <c r="C41" s="11">
        <v>1</v>
      </c>
      <c r="D41">
        <v>60</v>
      </c>
      <c r="E41" s="9">
        <v>1</v>
      </c>
      <c r="G41" t="s">
        <v>125</v>
      </c>
      <c r="H41">
        <f>H29-H35</f>
        <v>245</v>
      </c>
      <c r="I41" s="9">
        <v>1</v>
      </c>
      <c r="J41">
        <v>62</v>
      </c>
      <c r="K41" s="9">
        <v>1</v>
      </c>
      <c r="O41" s="11"/>
      <c r="Q41" s="9"/>
      <c r="V41" s="7"/>
    </row>
    <row r="42" spans="1:22" x14ac:dyDescent="0.25">
      <c r="A42" t="s">
        <v>80</v>
      </c>
      <c r="B42">
        <f>B34-B35</f>
        <v>105</v>
      </c>
      <c r="C42" s="11">
        <f>B42/B$41</f>
        <v>0.4838709677419355</v>
      </c>
      <c r="D42">
        <v>18</v>
      </c>
      <c r="E42" s="9">
        <f>D42/D$41</f>
        <v>0.3</v>
      </c>
      <c r="G42" t="s">
        <v>122</v>
      </c>
      <c r="H42">
        <f>H34-E7-F6</f>
        <v>72</v>
      </c>
      <c r="I42" s="9">
        <f>H42/$H$41</f>
        <v>0.29387755102040819</v>
      </c>
      <c r="J42">
        <v>6</v>
      </c>
      <c r="K42" s="9">
        <f>J42/J$41</f>
        <v>9.6774193548387094E-2</v>
      </c>
      <c r="O42" s="11"/>
      <c r="Q42" s="9"/>
      <c r="V42" s="7"/>
    </row>
    <row r="43" spans="1:22" x14ac:dyDescent="0.25">
      <c r="C43" s="10"/>
      <c r="E43" s="9"/>
      <c r="O43" s="11"/>
      <c r="Q43" s="9"/>
      <c r="V43" s="7"/>
    </row>
    <row r="44" spans="1:22" x14ac:dyDescent="0.25">
      <c r="A44" t="s">
        <v>81</v>
      </c>
      <c r="B44">
        <f>B29-B34</f>
        <v>112</v>
      </c>
      <c r="C44" s="10">
        <f t="shared" ref="C44:C52" si="14">B44/B$44</f>
        <v>1</v>
      </c>
      <c r="D44">
        <v>42</v>
      </c>
      <c r="E44" s="9">
        <f t="shared" ref="E44:E52" si="15">D44/D$44</f>
        <v>1</v>
      </c>
      <c r="G44" t="s">
        <v>129</v>
      </c>
      <c r="H44">
        <f>H29-H34</f>
        <v>173</v>
      </c>
      <c r="I44" s="32">
        <f>H44/H$44</f>
        <v>1</v>
      </c>
      <c r="J44">
        <f>J29-J34</f>
        <v>54</v>
      </c>
      <c r="K44" s="9">
        <f t="shared" ref="K44:K52" si="16">J44/J$44</f>
        <v>1</v>
      </c>
      <c r="O44" s="10"/>
      <c r="Q44" s="9"/>
      <c r="V44" s="7"/>
    </row>
    <row r="45" spans="1:22" x14ac:dyDescent="0.25">
      <c r="A45" t="s">
        <v>82</v>
      </c>
      <c r="B45">
        <f>B30</f>
        <v>4</v>
      </c>
      <c r="C45" s="11">
        <f t="shared" si="14"/>
        <v>3.5714285714285712E-2</v>
      </c>
      <c r="D45">
        <v>3</v>
      </c>
      <c r="E45" s="9">
        <f t="shared" si="15"/>
        <v>7.1428571428571425E-2</v>
      </c>
      <c r="G45" t="s">
        <v>130</v>
      </c>
      <c r="H45">
        <f>H30</f>
        <v>1</v>
      </c>
      <c r="I45" s="32">
        <f>H45/H$44</f>
        <v>5.7803468208092483E-3</v>
      </c>
      <c r="J45">
        <v>1</v>
      </c>
      <c r="K45" s="9">
        <f t="shared" si="16"/>
        <v>1.8518518518518517E-2</v>
      </c>
      <c r="O45" s="10"/>
      <c r="Q45" s="9"/>
      <c r="V45" s="7"/>
    </row>
    <row r="46" spans="1:22" x14ac:dyDescent="0.25">
      <c r="A46" t="s">
        <v>142</v>
      </c>
      <c r="B46">
        <f>B31-(SUM(E6:E7,F6))</f>
        <v>50</v>
      </c>
      <c r="C46" s="11">
        <f t="shared" si="14"/>
        <v>0.44642857142857145</v>
      </c>
      <c r="D46">
        <v>9</v>
      </c>
      <c r="E46" s="9">
        <f t="shared" si="15"/>
        <v>0.21428571428571427</v>
      </c>
      <c r="G46" t="s">
        <v>131</v>
      </c>
      <c r="H46">
        <f>H31</f>
        <v>29</v>
      </c>
      <c r="I46" s="32">
        <f>H46/H$44</f>
        <v>0.16763005780346821</v>
      </c>
      <c r="J46">
        <v>4</v>
      </c>
      <c r="K46" s="9">
        <f t="shared" si="16"/>
        <v>7.407407407407407E-2</v>
      </c>
      <c r="O46" s="11"/>
      <c r="Q46" s="9"/>
      <c r="V46" s="7"/>
    </row>
    <row r="47" spans="1:22" x14ac:dyDescent="0.25">
      <c r="A47" t="s">
        <v>78</v>
      </c>
      <c r="B47">
        <f>$B$32-SUM($D$7, $E$6:E$7, $F$5:$F$6)</f>
        <v>86</v>
      </c>
      <c r="C47" s="11">
        <f t="shared" si="14"/>
        <v>0.7678571428571429</v>
      </c>
      <c r="D47">
        <v>19</v>
      </c>
      <c r="E47" s="9">
        <f t="shared" si="15"/>
        <v>0.45238095238095238</v>
      </c>
      <c r="G47" t="s">
        <v>132</v>
      </c>
      <c r="H47">
        <f>H32</f>
        <v>91</v>
      </c>
      <c r="I47" s="32">
        <f t="shared" ref="I47:I52" si="17">H47/H$44</f>
        <v>0.52601156069364163</v>
      </c>
      <c r="J47">
        <v>16</v>
      </c>
      <c r="K47" s="9">
        <f t="shared" si="16"/>
        <v>0.29629629629629628</v>
      </c>
      <c r="O47" s="11"/>
      <c r="Q47" s="9"/>
      <c r="V47" s="7"/>
    </row>
    <row r="48" spans="1:22" x14ac:dyDescent="0.25">
      <c r="A48" t="s">
        <v>79</v>
      </c>
      <c r="B48">
        <f>B$33-SUM(B$9:B$10, C$8:C$9, D$7:D$8, E$6:E$7, F$5:F$6, G$4:G$5, H$3:H$4, I$3)</f>
        <v>87</v>
      </c>
      <c r="C48" s="11">
        <f t="shared" si="14"/>
        <v>0.7767857142857143</v>
      </c>
      <c r="D48">
        <v>21</v>
      </c>
      <c r="E48" s="9">
        <f t="shared" si="15"/>
        <v>0.5</v>
      </c>
      <c r="G48" t="s">
        <v>133</v>
      </c>
      <c r="H48">
        <f>H33</f>
        <v>137</v>
      </c>
      <c r="I48" s="32">
        <f t="shared" si="17"/>
        <v>0.79190751445086704</v>
      </c>
      <c r="J48">
        <v>28</v>
      </c>
      <c r="K48" s="9">
        <f t="shared" si="16"/>
        <v>0.51851851851851849</v>
      </c>
      <c r="O48" s="11"/>
      <c r="Q48" s="9"/>
      <c r="V48" s="7"/>
    </row>
    <row r="49" spans="1:22" x14ac:dyDescent="0.25">
      <c r="A49" t="s">
        <v>201</v>
      </c>
      <c r="B49">
        <f>B36</f>
        <v>0</v>
      </c>
      <c r="C49" s="11">
        <f t="shared" si="14"/>
        <v>0</v>
      </c>
      <c r="D49">
        <v>3</v>
      </c>
      <c r="E49" s="9">
        <f t="shared" si="15"/>
        <v>7.1428571428571425E-2</v>
      </c>
      <c r="G49" t="s">
        <v>199</v>
      </c>
      <c r="H49">
        <v>0</v>
      </c>
      <c r="I49" s="32">
        <f t="shared" si="17"/>
        <v>0</v>
      </c>
      <c r="J49">
        <v>1</v>
      </c>
      <c r="K49" s="9">
        <f t="shared" si="16"/>
        <v>1.8518518518518517E-2</v>
      </c>
      <c r="O49" s="11"/>
      <c r="Q49" s="9"/>
      <c r="V49" s="7"/>
    </row>
    <row r="50" spans="1:22" x14ac:dyDescent="0.25">
      <c r="A50" t="s">
        <v>139</v>
      </c>
      <c r="B50">
        <f>B37-SUM(F6:F7,E7)</f>
        <v>10</v>
      </c>
      <c r="C50" s="11">
        <f t="shared" si="14"/>
        <v>8.9285714285714288E-2</v>
      </c>
      <c r="D50">
        <v>9</v>
      </c>
      <c r="E50" s="9">
        <f t="shared" si="15"/>
        <v>0.21428571428571427</v>
      </c>
      <c r="G50" t="s">
        <v>0</v>
      </c>
      <c r="H50">
        <f>I10+H9+G8+F7</f>
        <v>11</v>
      </c>
      <c r="I50" s="32">
        <f t="shared" si="17"/>
        <v>6.358381502890173E-2</v>
      </c>
      <c r="J50">
        <v>4</v>
      </c>
      <c r="K50" s="9">
        <f t="shared" si="16"/>
        <v>7.407407407407407E-2</v>
      </c>
    </row>
    <row r="51" spans="1:22" x14ac:dyDescent="0.25">
      <c r="A51" t="s">
        <v>140</v>
      </c>
      <c r="B51">
        <f>SUM(E10:I10, E9:I9, F8:I8, G7:I7, H6:I6)</f>
        <v>20</v>
      </c>
      <c r="C51" s="11">
        <f t="shared" si="14"/>
        <v>0.17857142857142858</v>
      </c>
      <c r="D51">
        <v>19</v>
      </c>
      <c r="E51" s="9">
        <f t="shared" si="15"/>
        <v>0.45238095238095238</v>
      </c>
      <c r="G51" t="s">
        <v>143</v>
      </c>
      <c r="H51">
        <f>SUM(F7:I10)</f>
        <v>23</v>
      </c>
      <c r="I51" s="32">
        <f t="shared" si="17"/>
        <v>0.13294797687861271</v>
      </c>
      <c r="J51">
        <v>16</v>
      </c>
      <c r="K51" s="9">
        <f t="shared" si="16"/>
        <v>0.29629629629629628</v>
      </c>
    </row>
    <row r="52" spans="1:22" x14ac:dyDescent="0.25">
      <c r="A52" t="s">
        <v>141</v>
      </c>
      <c r="B52">
        <f>SUM(D10:I10, E9:I9, F8:I8, G7:I7, H6:I6, I5)</f>
        <v>25</v>
      </c>
      <c r="C52" s="11">
        <f t="shared" si="14"/>
        <v>0.22321428571428573</v>
      </c>
      <c r="D52">
        <v>21</v>
      </c>
      <c r="E52" s="9">
        <f t="shared" si="15"/>
        <v>0.5</v>
      </c>
      <c r="G52" t="s">
        <v>144</v>
      </c>
      <c r="H52">
        <f>H39</f>
        <v>64</v>
      </c>
      <c r="I52" s="32">
        <f t="shared" si="17"/>
        <v>0.36994219653179189</v>
      </c>
      <c r="J52">
        <v>28</v>
      </c>
      <c r="K52" s="9">
        <f t="shared" si="16"/>
        <v>0.51851851851851849</v>
      </c>
    </row>
    <row r="53" spans="1:22" x14ac:dyDescent="0.25">
      <c r="C53" s="11"/>
      <c r="E53" s="9"/>
      <c r="I53" s="32"/>
      <c r="K53" s="9"/>
    </row>
    <row r="54" spans="1:22" x14ac:dyDescent="0.25">
      <c r="A54" t="s">
        <v>196</v>
      </c>
      <c r="B54">
        <f>B29</f>
        <v>320</v>
      </c>
      <c r="C54" s="11">
        <v>1</v>
      </c>
      <c r="D54">
        <v>64</v>
      </c>
      <c r="E54">
        <v>100</v>
      </c>
      <c r="G54" t="s">
        <v>197</v>
      </c>
      <c r="H54">
        <v>320</v>
      </c>
      <c r="I54" s="11">
        <v>1</v>
      </c>
      <c r="J54">
        <v>64</v>
      </c>
      <c r="K54" s="11">
        <v>1</v>
      </c>
    </row>
    <row r="55" spans="1:22" x14ac:dyDescent="0.25">
      <c r="A55" t="s">
        <v>142</v>
      </c>
      <c r="B55">
        <f>B46</f>
        <v>50</v>
      </c>
      <c r="C55" s="11">
        <f>B55/B$54</f>
        <v>0.15625</v>
      </c>
      <c r="D55">
        <f>D46</f>
        <v>9</v>
      </c>
      <c r="E55" s="9">
        <f>D55/D$54</f>
        <v>0.140625</v>
      </c>
      <c r="G55" t="s">
        <v>131</v>
      </c>
      <c r="H55">
        <f>H46</f>
        <v>29</v>
      </c>
      <c r="I55" s="32">
        <f>H55/H$54</f>
        <v>9.0624999999999997E-2</v>
      </c>
      <c r="J55">
        <f>J46</f>
        <v>4</v>
      </c>
      <c r="K55" s="9">
        <f>J55/J$54</f>
        <v>6.25E-2</v>
      </c>
    </row>
    <row r="56" spans="1:22" x14ac:dyDescent="0.25">
      <c r="A56" t="s">
        <v>78</v>
      </c>
      <c r="B56">
        <f t="shared" ref="B56:B61" si="18">B47</f>
        <v>86</v>
      </c>
      <c r="C56" s="11">
        <f t="shared" ref="C56:C61" si="19">B56/B$54</f>
        <v>0.26874999999999999</v>
      </c>
      <c r="D56">
        <f t="shared" ref="D56:D61" si="20">D47</f>
        <v>19</v>
      </c>
      <c r="E56" s="9">
        <f t="shared" ref="E56:E61" si="21">D56/D$54</f>
        <v>0.296875</v>
      </c>
      <c r="G56" t="s">
        <v>132</v>
      </c>
      <c r="H56">
        <f t="shared" ref="H56:H61" si="22">H47</f>
        <v>91</v>
      </c>
      <c r="I56" s="32">
        <f t="shared" ref="I56:I61" si="23">H56/H$54</f>
        <v>0.28437499999999999</v>
      </c>
      <c r="J56">
        <f t="shared" ref="J56:J61" si="24">J47</f>
        <v>16</v>
      </c>
      <c r="K56" s="9">
        <f t="shared" ref="K56:K61" si="25">J56/J$54</f>
        <v>0.25</v>
      </c>
    </row>
    <row r="57" spans="1:22" x14ac:dyDescent="0.25">
      <c r="A57" t="s">
        <v>79</v>
      </c>
      <c r="B57">
        <f t="shared" si="18"/>
        <v>87</v>
      </c>
      <c r="C57" s="11">
        <f t="shared" si="19"/>
        <v>0.27187499999999998</v>
      </c>
      <c r="D57">
        <f t="shared" si="20"/>
        <v>21</v>
      </c>
      <c r="E57" s="9">
        <f t="shared" si="21"/>
        <v>0.328125</v>
      </c>
      <c r="G57" t="s">
        <v>133</v>
      </c>
      <c r="H57">
        <f t="shared" si="22"/>
        <v>137</v>
      </c>
      <c r="I57" s="32">
        <f t="shared" si="23"/>
        <v>0.42812499999999998</v>
      </c>
      <c r="J57">
        <f t="shared" si="24"/>
        <v>28</v>
      </c>
      <c r="K57" s="9">
        <f t="shared" si="25"/>
        <v>0.4375</v>
      </c>
    </row>
    <row r="58" spans="1:22" x14ac:dyDescent="0.25">
      <c r="A58" t="s">
        <v>201</v>
      </c>
      <c r="B58">
        <f t="shared" si="18"/>
        <v>0</v>
      </c>
      <c r="C58" s="11">
        <f t="shared" si="19"/>
        <v>0</v>
      </c>
      <c r="D58">
        <f t="shared" si="20"/>
        <v>3</v>
      </c>
      <c r="E58" s="9">
        <f t="shared" si="21"/>
        <v>4.6875E-2</v>
      </c>
      <c r="G58" t="s">
        <v>199</v>
      </c>
      <c r="H58">
        <f t="shared" si="22"/>
        <v>0</v>
      </c>
      <c r="I58" s="32">
        <f t="shared" si="23"/>
        <v>0</v>
      </c>
      <c r="J58">
        <f t="shared" si="24"/>
        <v>1</v>
      </c>
      <c r="K58" s="9">
        <f t="shared" si="25"/>
        <v>1.5625E-2</v>
      </c>
    </row>
    <row r="59" spans="1:22" x14ac:dyDescent="0.25">
      <c r="A59" t="s">
        <v>139</v>
      </c>
      <c r="B59">
        <f t="shared" si="18"/>
        <v>10</v>
      </c>
      <c r="C59" s="11">
        <f t="shared" si="19"/>
        <v>3.125E-2</v>
      </c>
      <c r="D59">
        <f t="shared" si="20"/>
        <v>9</v>
      </c>
      <c r="E59" s="9">
        <f t="shared" si="21"/>
        <v>0.140625</v>
      </c>
      <c r="G59" t="s">
        <v>0</v>
      </c>
      <c r="H59">
        <f t="shared" si="22"/>
        <v>11</v>
      </c>
      <c r="I59" s="32">
        <f t="shared" si="23"/>
        <v>3.4375000000000003E-2</v>
      </c>
      <c r="J59">
        <f t="shared" si="24"/>
        <v>4</v>
      </c>
      <c r="K59" s="9">
        <f t="shared" si="25"/>
        <v>6.25E-2</v>
      </c>
    </row>
    <row r="60" spans="1:22" x14ac:dyDescent="0.25">
      <c r="A60" t="s">
        <v>140</v>
      </c>
      <c r="B60">
        <f t="shared" si="18"/>
        <v>20</v>
      </c>
      <c r="C60" s="11">
        <f t="shared" si="19"/>
        <v>6.25E-2</v>
      </c>
      <c r="D60">
        <f t="shared" si="20"/>
        <v>19</v>
      </c>
      <c r="E60" s="9">
        <f t="shared" si="21"/>
        <v>0.296875</v>
      </c>
      <c r="G60" t="s">
        <v>143</v>
      </c>
      <c r="H60">
        <f t="shared" si="22"/>
        <v>23</v>
      </c>
      <c r="I60" s="32">
        <f t="shared" si="23"/>
        <v>7.1874999999999994E-2</v>
      </c>
      <c r="J60">
        <f t="shared" si="24"/>
        <v>16</v>
      </c>
      <c r="K60" s="9">
        <f t="shared" si="25"/>
        <v>0.25</v>
      </c>
    </row>
    <row r="61" spans="1:22" x14ac:dyDescent="0.25">
      <c r="A61" t="s">
        <v>141</v>
      </c>
      <c r="B61">
        <f t="shared" si="18"/>
        <v>25</v>
      </c>
      <c r="C61" s="11">
        <f t="shared" si="19"/>
        <v>7.8125E-2</v>
      </c>
      <c r="D61">
        <f t="shared" si="20"/>
        <v>21</v>
      </c>
      <c r="E61" s="9">
        <f t="shared" si="21"/>
        <v>0.328125</v>
      </c>
      <c r="G61" t="s">
        <v>144</v>
      </c>
      <c r="H61">
        <f t="shared" si="22"/>
        <v>64</v>
      </c>
      <c r="I61" s="32">
        <f t="shared" si="23"/>
        <v>0.2</v>
      </c>
      <c r="J61">
        <f t="shared" si="24"/>
        <v>28</v>
      </c>
      <c r="K61" s="9">
        <f t="shared" si="25"/>
        <v>0.4375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opLeftCell="C1" workbookViewId="0">
      <selection activeCell="M1" sqref="M1:W25"/>
    </sheetView>
  </sheetViews>
  <sheetFormatPr defaultColWidth="8.7109375" defaultRowHeight="15" x14ac:dyDescent="0.25"/>
  <sheetData>
    <row r="1" spans="1:23" x14ac:dyDescent="0.25">
      <c r="A1" s="1" t="s">
        <v>109</v>
      </c>
      <c r="J1" s="4" t="s">
        <v>58</v>
      </c>
      <c r="K1" s="4" t="s">
        <v>90</v>
      </c>
      <c r="M1" s="8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x14ac:dyDescent="0.25">
      <c r="A2" s="1" t="s">
        <v>61</v>
      </c>
      <c r="J2" s="4"/>
      <c r="K2" s="4"/>
      <c r="M2" s="8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x14ac:dyDescent="0.25">
      <c r="A3" s="2" t="s">
        <v>55</v>
      </c>
      <c r="B3">
        <v>11</v>
      </c>
      <c r="C3">
        <v>7</v>
      </c>
      <c r="D3">
        <v>5</v>
      </c>
      <c r="E3">
        <v>19</v>
      </c>
      <c r="F3">
        <v>8</v>
      </c>
      <c r="G3">
        <v>10</v>
      </c>
      <c r="H3">
        <v>11</v>
      </c>
      <c r="I3">
        <v>52</v>
      </c>
      <c r="J3" s="4">
        <f>SUM(B3:I3)</f>
        <v>123</v>
      </c>
      <c r="K3" s="12">
        <f>J3/$J$11</f>
        <v>0.13851351351351351</v>
      </c>
      <c r="M3" s="8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x14ac:dyDescent="0.25">
      <c r="A4" s="3" t="s">
        <v>56</v>
      </c>
      <c r="B4">
        <v>1</v>
      </c>
      <c r="C4">
        <v>3</v>
      </c>
      <c r="D4">
        <v>11</v>
      </c>
      <c r="E4">
        <v>16</v>
      </c>
      <c r="F4">
        <v>13</v>
      </c>
      <c r="G4">
        <v>11</v>
      </c>
      <c r="H4">
        <v>23</v>
      </c>
      <c r="I4">
        <v>8</v>
      </c>
      <c r="J4" s="4">
        <f t="shared" ref="J4:J10" si="0">SUM(B4:I4)</f>
        <v>86</v>
      </c>
      <c r="K4" s="12">
        <f t="shared" ref="K4:K10" si="1">J4/$J$11</f>
        <v>9.6846846846846843E-2</v>
      </c>
      <c r="M4" s="88"/>
      <c r="N4" s="7"/>
      <c r="O4" s="7"/>
      <c r="P4" s="7"/>
      <c r="Q4" s="7"/>
      <c r="R4" s="7"/>
      <c r="S4" s="7"/>
      <c r="T4" s="7"/>
      <c r="U4" s="7"/>
      <c r="V4" s="7"/>
      <c r="W4" s="14"/>
    </row>
    <row r="5" spans="1:23" x14ac:dyDescent="0.25">
      <c r="A5" t="s">
        <v>57</v>
      </c>
      <c r="B5">
        <v>0</v>
      </c>
      <c r="C5">
        <v>3</v>
      </c>
      <c r="D5">
        <v>7</v>
      </c>
      <c r="E5">
        <v>28</v>
      </c>
      <c r="F5">
        <v>16</v>
      </c>
      <c r="G5">
        <v>39</v>
      </c>
      <c r="H5">
        <v>12</v>
      </c>
      <c r="I5">
        <v>13</v>
      </c>
      <c r="J5" s="4">
        <f t="shared" si="0"/>
        <v>118</v>
      </c>
      <c r="K5" s="12">
        <f t="shared" si="1"/>
        <v>0.13288288288288289</v>
      </c>
      <c r="M5" s="7"/>
      <c r="N5" s="7"/>
      <c r="O5" s="7"/>
      <c r="P5" s="7"/>
      <c r="Q5" s="7"/>
      <c r="R5" s="7"/>
      <c r="S5" s="7"/>
      <c r="T5" s="7"/>
      <c r="U5" s="7"/>
      <c r="V5" s="7"/>
      <c r="W5" s="14"/>
    </row>
    <row r="6" spans="1:23" x14ac:dyDescent="0.25">
      <c r="A6" t="s">
        <v>59</v>
      </c>
      <c r="B6">
        <v>1</v>
      </c>
      <c r="C6">
        <v>3</v>
      </c>
      <c r="D6">
        <v>10</v>
      </c>
      <c r="E6">
        <v>45</v>
      </c>
      <c r="F6">
        <v>47</v>
      </c>
      <c r="G6">
        <v>19</v>
      </c>
      <c r="H6">
        <v>6</v>
      </c>
      <c r="I6">
        <v>4</v>
      </c>
      <c r="J6" s="4">
        <f t="shared" si="0"/>
        <v>135</v>
      </c>
      <c r="K6" s="12">
        <f t="shared" si="1"/>
        <v>0.15202702702702703</v>
      </c>
      <c r="M6" s="7"/>
      <c r="N6" s="7"/>
      <c r="O6" s="7"/>
      <c r="P6" s="7"/>
      <c r="Q6" s="7"/>
      <c r="R6" s="7"/>
      <c r="S6" s="7"/>
      <c r="T6" s="7"/>
      <c r="U6" s="7"/>
      <c r="V6" s="7"/>
      <c r="W6" s="14"/>
    </row>
    <row r="7" spans="1:23" x14ac:dyDescent="0.25">
      <c r="A7" t="s">
        <v>60</v>
      </c>
      <c r="B7">
        <v>0</v>
      </c>
      <c r="C7">
        <v>12</v>
      </c>
      <c r="D7">
        <v>26</v>
      </c>
      <c r="E7">
        <v>121</v>
      </c>
      <c r="F7">
        <v>34</v>
      </c>
      <c r="G7">
        <v>23</v>
      </c>
      <c r="H7">
        <v>14</v>
      </c>
      <c r="I7">
        <v>4</v>
      </c>
      <c r="J7" s="4">
        <f t="shared" si="0"/>
        <v>234</v>
      </c>
      <c r="K7" s="12">
        <f t="shared" si="1"/>
        <v>0.26351351351351349</v>
      </c>
      <c r="M7" s="7"/>
      <c r="N7" s="7"/>
      <c r="O7" s="7"/>
      <c r="P7" s="7"/>
      <c r="Q7" s="7"/>
      <c r="R7" s="7"/>
      <c r="S7" s="7"/>
      <c r="T7" s="7"/>
      <c r="U7" s="7"/>
      <c r="V7" s="7"/>
      <c r="W7" s="14"/>
    </row>
    <row r="8" spans="1:23" x14ac:dyDescent="0.25">
      <c r="A8" t="s">
        <v>62</v>
      </c>
      <c r="B8">
        <v>2</v>
      </c>
      <c r="C8">
        <v>9</v>
      </c>
      <c r="D8">
        <v>19</v>
      </c>
      <c r="E8">
        <v>19</v>
      </c>
      <c r="F8">
        <v>13</v>
      </c>
      <c r="G8">
        <v>9</v>
      </c>
      <c r="H8">
        <v>4</v>
      </c>
      <c r="I8">
        <v>3</v>
      </c>
      <c r="J8" s="4">
        <f t="shared" si="0"/>
        <v>78</v>
      </c>
      <c r="K8" s="12">
        <f t="shared" si="1"/>
        <v>8.7837837837837843E-2</v>
      </c>
      <c r="M8" s="7"/>
      <c r="N8" s="7"/>
      <c r="O8" s="7"/>
      <c r="P8" s="7"/>
      <c r="Q8" s="7"/>
      <c r="R8" s="7"/>
      <c r="S8" s="7"/>
      <c r="T8" s="7"/>
      <c r="U8" s="7"/>
      <c r="V8" s="7"/>
      <c r="W8" s="14"/>
    </row>
    <row r="9" spans="1:23" x14ac:dyDescent="0.25">
      <c r="A9" t="s">
        <v>63</v>
      </c>
      <c r="B9">
        <v>1</v>
      </c>
      <c r="C9">
        <v>19</v>
      </c>
      <c r="D9">
        <v>10</v>
      </c>
      <c r="E9">
        <v>12</v>
      </c>
      <c r="F9">
        <v>6</v>
      </c>
      <c r="G9">
        <v>4</v>
      </c>
      <c r="H9">
        <v>0</v>
      </c>
      <c r="I9">
        <v>4</v>
      </c>
      <c r="J9" s="4">
        <f t="shared" si="0"/>
        <v>56</v>
      </c>
      <c r="K9" s="12">
        <f t="shared" si="1"/>
        <v>6.3063063063063057E-2</v>
      </c>
      <c r="M9" s="7"/>
      <c r="N9" s="7"/>
      <c r="O9" s="7"/>
      <c r="P9" s="7"/>
      <c r="Q9" s="7"/>
      <c r="R9" s="7"/>
      <c r="S9" s="7"/>
      <c r="T9" s="7"/>
      <c r="U9" s="7"/>
      <c r="V9" s="7"/>
      <c r="W9" s="14"/>
    </row>
    <row r="10" spans="1:23" x14ac:dyDescent="0.25">
      <c r="A10" t="s">
        <v>64</v>
      </c>
      <c r="B10">
        <v>39</v>
      </c>
      <c r="C10">
        <v>4</v>
      </c>
      <c r="D10">
        <v>1</v>
      </c>
      <c r="E10">
        <v>3</v>
      </c>
      <c r="F10">
        <v>2</v>
      </c>
      <c r="G10">
        <v>3</v>
      </c>
      <c r="H10">
        <v>1</v>
      </c>
      <c r="I10">
        <v>5</v>
      </c>
      <c r="J10" s="4">
        <f t="shared" si="0"/>
        <v>58</v>
      </c>
      <c r="K10" s="12">
        <f t="shared" si="1"/>
        <v>6.5315315315315314E-2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14"/>
    </row>
    <row r="11" spans="1:23" x14ac:dyDescent="0.25">
      <c r="A11" s="5" t="s">
        <v>65</v>
      </c>
      <c r="B11" s="6">
        <f>SUM(B3:B10)</f>
        <v>55</v>
      </c>
      <c r="C11" s="6">
        <f t="shared" ref="C11:I11" si="2">SUM(C3:C10)</f>
        <v>60</v>
      </c>
      <c r="D11" s="6">
        <f t="shared" si="2"/>
        <v>89</v>
      </c>
      <c r="E11" s="6">
        <f t="shared" si="2"/>
        <v>263</v>
      </c>
      <c r="F11" s="6">
        <f t="shared" si="2"/>
        <v>139</v>
      </c>
      <c r="G11" s="6">
        <f t="shared" si="2"/>
        <v>118</v>
      </c>
      <c r="H11" s="6">
        <f t="shared" si="2"/>
        <v>71</v>
      </c>
      <c r="I11" s="6">
        <f t="shared" si="2"/>
        <v>93</v>
      </c>
      <c r="J11" s="4">
        <f>SUM(J3:J10)</f>
        <v>888</v>
      </c>
      <c r="K11" s="4"/>
      <c r="M11" s="8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25">
      <c r="A12" s="5" t="s">
        <v>91</v>
      </c>
      <c r="B12" s="13">
        <f>B11/$J$11</f>
        <v>6.1936936936936936E-2</v>
      </c>
      <c r="C12" s="13">
        <f t="shared" ref="C12:I12" si="3">C11/$J$11</f>
        <v>6.7567567567567571E-2</v>
      </c>
      <c r="D12" s="13">
        <f t="shared" si="3"/>
        <v>0.10022522522522523</v>
      </c>
      <c r="E12" s="13">
        <f t="shared" si="3"/>
        <v>0.29617117117117114</v>
      </c>
      <c r="F12" s="13">
        <f t="shared" si="3"/>
        <v>0.15653153153153154</v>
      </c>
      <c r="G12" s="13">
        <f t="shared" si="3"/>
        <v>0.13288288288288289</v>
      </c>
      <c r="H12" s="13">
        <f t="shared" si="3"/>
        <v>7.9954954954954957E-2</v>
      </c>
      <c r="I12" s="13">
        <f t="shared" si="3"/>
        <v>0.10472972972972973</v>
      </c>
      <c r="J12" s="19">
        <f>SUM(B12:I12)</f>
        <v>1</v>
      </c>
      <c r="K12" s="4"/>
      <c r="M12" s="8"/>
      <c r="N12" s="14"/>
      <c r="O12" s="14"/>
      <c r="P12" s="14"/>
      <c r="Q12" s="14"/>
      <c r="R12" s="14"/>
      <c r="S12" s="14"/>
      <c r="T12" s="14"/>
      <c r="U12" s="14"/>
      <c r="V12" s="18"/>
      <c r="W12" s="7"/>
    </row>
    <row r="13" spans="1:23" x14ac:dyDescent="0.25">
      <c r="A13" s="5" t="s">
        <v>88</v>
      </c>
      <c r="B13" s="6" t="s">
        <v>64</v>
      </c>
      <c r="C13" s="6" t="s">
        <v>63</v>
      </c>
      <c r="D13" s="6" t="s">
        <v>62</v>
      </c>
      <c r="E13" s="6" t="s">
        <v>60</v>
      </c>
      <c r="F13" s="6" t="s">
        <v>59</v>
      </c>
      <c r="G13" s="6" t="s">
        <v>57</v>
      </c>
      <c r="H13" s="6" t="s">
        <v>89</v>
      </c>
      <c r="I13" s="6" t="s">
        <v>55</v>
      </c>
      <c r="J13" s="4"/>
      <c r="K13" s="4"/>
      <c r="M13" s="8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25">
      <c r="A14" s="8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x14ac:dyDescent="0.25">
      <c r="A15" s="1" t="s">
        <v>61</v>
      </c>
      <c r="J15" s="4"/>
      <c r="K15" s="4"/>
      <c r="L15" s="7"/>
      <c r="M15" s="8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25">
      <c r="A16" s="2" t="s">
        <v>55</v>
      </c>
      <c r="B16" s="28">
        <f t="shared" ref="B16:I23" si="4">B3/$J$11</f>
        <v>1.2387387387387387E-2</v>
      </c>
      <c r="C16" s="20">
        <f t="shared" si="4"/>
        <v>7.8828828828828822E-3</v>
      </c>
      <c r="D16" s="20">
        <f t="shared" si="4"/>
        <v>5.6306306306306304E-3</v>
      </c>
      <c r="E16" s="20">
        <f t="shared" si="4"/>
        <v>2.1396396396396396E-2</v>
      </c>
      <c r="F16" s="20">
        <f t="shared" si="4"/>
        <v>9.0090090090090089E-3</v>
      </c>
      <c r="G16" s="20">
        <f t="shared" si="4"/>
        <v>1.1261261261261261E-2</v>
      </c>
      <c r="H16" s="20">
        <f t="shared" si="4"/>
        <v>1.2387387387387387E-2</v>
      </c>
      <c r="I16" s="20">
        <f t="shared" si="4"/>
        <v>5.8558558558558557E-2</v>
      </c>
      <c r="J16" s="12">
        <f>SUM(B16:I16)</f>
        <v>0.13851351351351351</v>
      </c>
      <c r="K16" s="12"/>
      <c r="L16" s="7"/>
      <c r="M16" s="87"/>
      <c r="N16" s="89"/>
      <c r="O16" s="89"/>
      <c r="P16" s="89"/>
      <c r="Q16" s="89"/>
      <c r="R16" s="89"/>
      <c r="S16" s="89"/>
      <c r="T16" s="89"/>
      <c r="U16" s="89"/>
      <c r="V16" s="14"/>
      <c r="W16" s="7"/>
    </row>
    <row r="17" spans="1:23" x14ac:dyDescent="0.25">
      <c r="A17" s="3" t="s">
        <v>56</v>
      </c>
      <c r="B17" s="20">
        <f t="shared" si="4"/>
        <v>1.1261261261261261E-3</v>
      </c>
      <c r="C17" s="20">
        <f t="shared" si="4"/>
        <v>3.3783783783783786E-3</v>
      </c>
      <c r="D17" s="20">
        <f t="shared" si="4"/>
        <v>1.2387387387387387E-2</v>
      </c>
      <c r="E17" s="20">
        <f t="shared" si="4"/>
        <v>1.8018018018018018E-2</v>
      </c>
      <c r="F17" s="20">
        <f t="shared" si="4"/>
        <v>1.4639639639639639E-2</v>
      </c>
      <c r="G17" s="20">
        <f t="shared" si="4"/>
        <v>1.2387387387387387E-2</v>
      </c>
      <c r="H17" s="20">
        <f t="shared" si="4"/>
        <v>2.59009009009009E-2</v>
      </c>
      <c r="I17" s="20">
        <f t="shared" si="4"/>
        <v>9.0090090090090089E-3</v>
      </c>
      <c r="J17" s="12">
        <f t="shared" ref="J17:J23" si="5">SUM(B17:I17)</f>
        <v>9.6846846846846857E-2</v>
      </c>
      <c r="K17" s="12"/>
      <c r="L17" s="7"/>
      <c r="M17" s="88"/>
      <c r="N17" s="89"/>
      <c r="O17" s="89"/>
      <c r="P17" s="89"/>
      <c r="Q17" s="89"/>
      <c r="R17" s="89"/>
      <c r="S17" s="89"/>
      <c r="T17" s="89"/>
      <c r="U17" s="89"/>
      <c r="V17" s="14"/>
      <c r="W17" s="7"/>
    </row>
    <row r="18" spans="1:23" x14ac:dyDescent="0.25">
      <c r="A18" t="s">
        <v>57</v>
      </c>
      <c r="B18" s="20">
        <f t="shared" si="4"/>
        <v>0</v>
      </c>
      <c r="C18" s="20">
        <f t="shared" si="4"/>
        <v>3.3783783783783786E-3</v>
      </c>
      <c r="D18" s="20">
        <f t="shared" si="4"/>
        <v>7.8828828828828822E-3</v>
      </c>
      <c r="E18" s="20">
        <f t="shared" si="4"/>
        <v>3.1531531531531529E-2</v>
      </c>
      <c r="F18" s="20">
        <f t="shared" si="4"/>
        <v>1.8018018018018018E-2</v>
      </c>
      <c r="G18" s="20">
        <f t="shared" si="4"/>
        <v>4.3918918918918921E-2</v>
      </c>
      <c r="H18" s="20">
        <f t="shared" si="4"/>
        <v>1.3513513513513514E-2</v>
      </c>
      <c r="I18" s="20">
        <f t="shared" si="4"/>
        <v>1.4639639639639639E-2</v>
      </c>
      <c r="J18" s="12">
        <f t="shared" si="5"/>
        <v>0.13288288288288286</v>
      </c>
      <c r="K18" s="12"/>
      <c r="L18" s="7"/>
      <c r="M18" s="7"/>
      <c r="N18" s="89"/>
      <c r="O18" s="89"/>
      <c r="P18" s="89"/>
      <c r="Q18" s="89"/>
      <c r="R18" s="89"/>
      <c r="S18" s="89"/>
      <c r="T18" s="89"/>
      <c r="U18" s="89"/>
      <c r="V18" s="14"/>
      <c r="W18" s="7"/>
    </row>
    <row r="19" spans="1:23" x14ac:dyDescent="0.25">
      <c r="A19" t="s">
        <v>59</v>
      </c>
      <c r="B19" s="20">
        <f t="shared" si="4"/>
        <v>1.1261261261261261E-3</v>
      </c>
      <c r="C19" s="20">
        <f t="shared" si="4"/>
        <v>3.3783783783783786E-3</v>
      </c>
      <c r="D19" s="20">
        <f t="shared" si="4"/>
        <v>1.1261261261261261E-2</v>
      </c>
      <c r="E19" s="20">
        <f t="shared" si="4"/>
        <v>5.0675675675675678E-2</v>
      </c>
      <c r="F19" s="20">
        <f t="shared" si="4"/>
        <v>5.2927927927927929E-2</v>
      </c>
      <c r="G19" s="20">
        <f t="shared" si="4"/>
        <v>2.1396396396396396E-2</v>
      </c>
      <c r="H19" s="20">
        <f t="shared" si="4"/>
        <v>6.7567567567567571E-3</v>
      </c>
      <c r="I19" s="20">
        <f t="shared" si="4"/>
        <v>4.5045045045045045E-3</v>
      </c>
      <c r="J19" s="12">
        <f t="shared" si="5"/>
        <v>0.15202702702702703</v>
      </c>
      <c r="K19" s="12"/>
      <c r="L19" s="7"/>
      <c r="M19" s="7"/>
      <c r="N19" s="89"/>
      <c r="O19" s="89"/>
      <c r="P19" s="89"/>
      <c r="Q19" s="89"/>
      <c r="R19" s="89"/>
      <c r="S19" s="89"/>
      <c r="T19" s="89"/>
      <c r="U19" s="89"/>
      <c r="V19" s="14"/>
      <c r="W19" s="7"/>
    </row>
    <row r="20" spans="1:23" x14ac:dyDescent="0.25">
      <c r="A20" t="s">
        <v>60</v>
      </c>
      <c r="B20" s="20">
        <f t="shared" si="4"/>
        <v>0</v>
      </c>
      <c r="C20" s="20">
        <f t="shared" si="4"/>
        <v>1.3513513513513514E-2</v>
      </c>
      <c r="D20" s="20">
        <f t="shared" si="4"/>
        <v>2.9279279279279279E-2</v>
      </c>
      <c r="E20" s="20">
        <f t="shared" si="4"/>
        <v>0.13626126126126126</v>
      </c>
      <c r="F20" s="20">
        <f t="shared" si="4"/>
        <v>3.8288288288288286E-2</v>
      </c>
      <c r="G20" s="20">
        <f t="shared" si="4"/>
        <v>2.59009009009009E-2</v>
      </c>
      <c r="H20" s="20">
        <f t="shared" si="4"/>
        <v>1.5765765765765764E-2</v>
      </c>
      <c r="I20" s="20">
        <f t="shared" si="4"/>
        <v>4.5045045045045045E-3</v>
      </c>
      <c r="J20" s="12">
        <f t="shared" si="5"/>
        <v>0.26351351351351354</v>
      </c>
      <c r="K20" s="12"/>
      <c r="L20" s="7"/>
      <c r="M20" s="7"/>
      <c r="N20" s="89"/>
      <c r="O20" s="89"/>
      <c r="P20" s="89"/>
      <c r="Q20" s="89"/>
      <c r="R20" s="89"/>
      <c r="S20" s="89"/>
      <c r="T20" s="89"/>
      <c r="U20" s="89"/>
      <c r="V20" s="14"/>
      <c r="W20" s="7"/>
    </row>
    <row r="21" spans="1:23" x14ac:dyDescent="0.25">
      <c r="A21" t="s">
        <v>62</v>
      </c>
      <c r="B21" s="20">
        <f t="shared" si="4"/>
        <v>2.2522522522522522E-3</v>
      </c>
      <c r="C21" s="20">
        <f t="shared" si="4"/>
        <v>1.0135135135135136E-2</v>
      </c>
      <c r="D21" s="20">
        <f t="shared" si="4"/>
        <v>2.1396396396396396E-2</v>
      </c>
      <c r="E21" s="20">
        <f t="shared" si="4"/>
        <v>2.1396396396396396E-2</v>
      </c>
      <c r="F21" s="20">
        <f t="shared" si="4"/>
        <v>1.4639639639639639E-2</v>
      </c>
      <c r="G21" s="20">
        <f t="shared" si="4"/>
        <v>1.0135135135135136E-2</v>
      </c>
      <c r="H21" s="20">
        <f t="shared" si="4"/>
        <v>4.5045045045045045E-3</v>
      </c>
      <c r="I21" s="20">
        <f t="shared" si="4"/>
        <v>3.3783783783783786E-3</v>
      </c>
      <c r="J21" s="12">
        <f t="shared" si="5"/>
        <v>8.7837837837837857E-2</v>
      </c>
      <c r="K21" s="12"/>
      <c r="L21" s="7"/>
      <c r="M21" s="7"/>
      <c r="N21" s="89"/>
      <c r="O21" s="89"/>
      <c r="P21" s="89"/>
      <c r="Q21" s="89"/>
      <c r="R21" s="89"/>
      <c r="S21" s="89"/>
      <c r="T21" s="89"/>
      <c r="U21" s="89"/>
      <c r="V21" s="14"/>
      <c r="W21" s="7"/>
    </row>
    <row r="22" spans="1:23" x14ac:dyDescent="0.25">
      <c r="A22" t="s">
        <v>63</v>
      </c>
      <c r="B22" s="20">
        <f t="shared" si="4"/>
        <v>1.1261261261261261E-3</v>
      </c>
      <c r="C22" s="20">
        <f t="shared" si="4"/>
        <v>2.1396396396396396E-2</v>
      </c>
      <c r="D22" s="20">
        <f t="shared" si="4"/>
        <v>1.1261261261261261E-2</v>
      </c>
      <c r="E22" s="20">
        <f t="shared" si="4"/>
        <v>1.3513513513513514E-2</v>
      </c>
      <c r="F22" s="20">
        <f t="shared" si="4"/>
        <v>6.7567567567567571E-3</v>
      </c>
      <c r="G22" s="20">
        <f t="shared" si="4"/>
        <v>4.5045045045045045E-3</v>
      </c>
      <c r="H22" s="20">
        <f t="shared" si="4"/>
        <v>0</v>
      </c>
      <c r="I22" s="20">
        <f t="shared" si="4"/>
        <v>4.5045045045045045E-3</v>
      </c>
      <c r="J22" s="12">
        <f t="shared" si="5"/>
        <v>6.3063063063063071E-2</v>
      </c>
      <c r="K22" s="12"/>
      <c r="L22" s="7"/>
      <c r="M22" s="7"/>
      <c r="N22" s="89"/>
      <c r="O22" s="89"/>
      <c r="P22" s="89"/>
      <c r="Q22" s="89"/>
      <c r="R22" s="89"/>
      <c r="S22" s="89"/>
      <c r="T22" s="89"/>
      <c r="U22" s="89"/>
      <c r="V22" s="14"/>
      <c r="W22" s="7"/>
    </row>
    <row r="23" spans="1:23" x14ac:dyDescent="0.25">
      <c r="A23" t="s">
        <v>64</v>
      </c>
      <c r="B23" s="20">
        <f t="shared" si="4"/>
        <v>4.3918918918918921E-2</v>
      </c>
      <c r="C23" s="20">
        <f t="shared" si="4"/>
        <v>4.5045045045045045E-3</v>
      </c>
      <c r="D23" s="20">
        <f t="shared" si="4"/>
        <v>1.1261261261261261E-3</v>
      </c>
      <c r="E23" s="20">
        <f t="shared" si="4"/>
        <v>3.3783783783783786E-3</v>
      </c>
      <c r="F23" s="20">
        <f t="shared" si="4"/>
        <v>2.2522522522522522E-3</v>
      </c>
      <c r="G23" s="20">
        <f t="shared" si="4"/>
        <v>3.3783783783783786E-3</v>
      </c>
      <c r="H23" s="20">
        <f t="shared" si="4"/>
        <v>1.1261261261261261E-3</v>
      </c>
      <c r="I23" s="20">
        <f t="shared" si="4"/>
        <v>5.6306306306306304E-3</v>
      </c>
      <c r="J23" s="12">
        <f t="shared" si="5"/>
        <v>6.5315315315315328E-2</v>
      </c>
      <c r="K23" s="12"/>
      <c r="L23" s="7"/>
      <c r="M23" s="7"/>
      <c r="N23" s="89"/>
      <c r="O23" s="89"/>
      <c r="P23" s="89"/>
      <c r="Q23" s="89"/>
      <c r="R23" s="89"/>
      <c r="S23" s="89"/>
      <c r="T23" s="89"/>
      <c r="U23" s="89"/>
      <c r="V23" s="14"/>
      <c r="W23" s="7"/>
    </row>
    <row r="24" spans="1:23" x14ac:dyDescent="0.25">
      <c r="A24" s="5" t="s">
        <v>91</v>
      </c>
      <c r="B24" s="13">
        <f>SUM(B16:B23)</f>
        <v>6.1936936936936943E-2</v>
      </c>
      <c r="C24" s="13">
        <f t="shared" ref="C24:I24" si="6">SUM(C16:C23)</f>
        <v>6.7567567567567557E-2</v>
      </c>
      <c r="D24" s="13">
        <f t="shared" si="6"/>
        <v>0.10022522522522521</v>
      </c>
      <c r="E24" s="13">
        <f t="shared" si="6"/>
        <v>0.2961711711711712</v>
      </c>
      <c r="F24" s="13">
        <f t="shared" si="6"/>
        <v>0.15653153153153151</v>
      </c>
      <c r="G24" s="13">
        <f t="shared" si="6"/>
        <v>0.13288288288288289</v>
      </c>
      <c r="H24" s="13">
        <f t="shared" si="6"/>
        <v>7.9954954954954943E-2</v>
      </c>
      <c r="I24" s="13">
        <f t="shared" si="6"/>
        <v>0.10472972972972973</v>
      </c>
      <c r="J24" s="19">
        <f>SUM(B24:I24)</f>
        <v>1</v>
      </c>
      <c r="K24" s="4"/>
      <c r="L24" s="7"/>
      <c r="M24" s="8"/>
      <c r="N24" s="14"/>
      <c r="O24" s="14"/>
      <c r="P24" s="14"/>
      <c r="Q24" s="14"/>
      <c r="R24" s="14"/>
      <c r="S24" s="14"/>
      <c r="T24" s="14"/>
      <c r="U24" s="14"/>
      <c r="V24" s="18"/>
      <c r="W24" s="7"/>
    </row>
    <row r="25" spans="1:23" x14ac:dyDescent="0.25">
      <c r="A25" s="5" t="s">
        <v>88</v>
      </c>
      <c r="B25" s="6" t="s">
        <v>64</v>
      </c>
      <c r="C25" s="6" t="s">
        <v>63</v>
      </c>
      <c r="D25" s="6" t="s">
        <v>62</v>
      </c>
      <c r="E25" s="6" t="s">
        <v>60</v>
      </c>
      <c r="F25" s="6" t="s">
        <v>59</v>
      </c>
      <c r="G25" s="6" t="s">
        <v>57</v>
      </c>
      <c r="H25" s="6" t="s">
        <v>89</v>
      </c>
      <c r="I25" s="6" t="s">
        <v>55</v>
      </c>
      <c r="J25" s="4"/>
      <c r="K25" s="4"/>
      <c r="L25" s="7"/>
      <c r="M25" s="8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x14ac:dyDescent="0.25">
      <c r="A26" s="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N26" s="7"/>
      <c r="O26" s="7"/>
      <c r="P26" s="7"/>
      <c r="Q26" s="7"/>
      <c r="R26" s="7"/>
      <c r="S26" s="7"/>
      <c r="T26" s="7"/>
      <c r="U26" s="7"/>
      <c r="V26" s="7"/>
    </row>
    <row r="27" spans="1:23" x14ac:dyDescent="0.25">
      <c r="A27" s="8" t="s">
        <v>103</v>
      </c>
      <c r="B27" s="7"/>
      <c r="C27" s="7"/>
      <c r="D27" s="7"/>
      <c r="E27" s="7"/>
      <c r="F27" s="7"/>
      <c r="G27" s="8" t="s">
        <v>104</v>
      </c>
      <c r="H27" s="7"/>
      <c r="I27" s="7"/>
      <c r="J27" s="7"/>
      <c r="K27" s="7"/>
      <c r="M27" s="8"/>
      <c r="N27" s="7"/>
      <c r="O27" s="7"/>
      <c r="P27" s="7"/>
      <c r="Q27" s="7"/>
      <c r="R27" s="7"/>
      <c r="S27" s="7"/>
      <c r="T27" s="7"/>
      <c r="U27" s="7"/>
      <c r="V27" s="7"/>
    </row>
    <row r="28" spans="1:23" x14ac:dyDescent="0.25">
      <c r="A28" s="8" t="s">
        <v>67</v>
      </c>
      <c r="B28" s="7" t="s">
        <v>68</v>
      </c>
      <c r="C28" s="7" t="s">
        <v>69</v>
      </c>
      <c r="D28" s="7" t="s">
        <v>70</v>
      </c>
      <c r="E28" s="7" t="s">
        <v>69</v>
      </c>
      <c r="F28" s="7"/>
      <c r="G28" s="8" t="s">
        <v>102</v>
      </c>
      <c r="H28" s="7" t="s">
        <v>68</v>
      </c>
      <c r="I28" s="7" t="s">
        <v>69</v>
      </c>
      <c r="J28" s="7" t="s">
        <v>70</v>
      </c>
      <c r="K28" s="7" t="s">
        <v>69</v>
      </c>
      <c r="M28" s="8"/>
      <c r="N28" s="7"/>
      <c r="O28" s="7"/>
      <c r="P28" s="7"/>
      <c r="Q28" s="7"/>
      <c r="R28" s="7"/>
      <c r="S28" s="7"/>
      <c r="T28" s="7"/>
      <c r="U28" s="7"/>
      <c r="V28" s="7"/>
    </row>
    <row r="29" spans="1:23" x14ac:dyDescent="0.25">
      <c r="A29" t="s">
        <v>71</v>
      </c>
      <c r="B29">
        <f>J11</f>
        <v>888</v>
      </c>
      <c r="C29" s="9">
        <f>B29/B29</f>
        <v>1</v>
      </c>
      <c r="D29">
        <v>64</v>
      </c>
      <c r="E29" s="9">
        <f>D29/D29</f>
        <v>1</v>
      </c>
      <c r="G29" t="s">
        <v>71</v>
      </c>
      <c r="H29">
        <f>J11</f>
        <v>888</v>
      </c>
      <c r="I29" s="9">
        <f t="shared" ref="I29:I35" si="7">H29/$H$29</f>
        <v>1</v>
      </c>
      <c r="J29">
        <v>64</v>
      </c>
      <c r="K29" s="9">
        <f>J29/J29</f>
        <v>1</v>
      </c>
      <c r="O29" s="9"/>
      <c r="Q29" s="9"/>
      <c r="V29" s="7"/>
    </row>
    <row r="30" spans="1:23" x14ac:dyDescent="0.25">
      <c r="A30" t="s">
        <v>66</v>
      </c>
      <c r="B30">
        <f>B3+C3+B4</f>
        <v>19</v>
      </c>
      <c r="C30" s="11">
        <f t="shared" ref="C30:C35" si="8">B30/B$29</f>
        <v>2.1396396396396396E-2</v>
      </c>
      <c r="D30">
        <v>3</v>
      </c>
      <c r="E30" s="9">
        <f t="shared" ref="E30:E35" si="9">D30/D$29</f>
        <v>4.6875E-2</v>
      </c>
      <c r="G30" t="s">
        <v>116</v>
      </c>
      <c r="H30">
        <f>B3</f>
        <v>11</v>
      </c>
      <c r="I30" s="9">
        <f t="shared" si="7"/>
        <v>1.2387387387387387E-2</v>
      </c>
      <c r="J30">
        <v>1</v>
      </c>
      <c r="K30" s="9">
        <f t="shared" ref="K30:K35" si="10">J30/J$29</f>
        <v>1.5625E-2</v>
      </c>
      <c r="O30" s="11"/>
      <c r="Q30" s="9"/>
      <c r="V30" s="7"/>
    </row>
    <row r="31" spans="1:23" x14ac:dyDescent="0.25">
      <c r="A31" t="s">
        <v>72</v>
      </c>
      <c r="B31">
        <f>B3+B4+C3+C4+C5+D4+D5+D6+E5+E6+E7+F6</f>
        <v>294</v>
      </c>
      <c r="C31" s="11">
        <f t="shared" si="8"/>
        <v>0.33108108108108109</v>
      </c>
      <c r="D31">
        <v>12</v>
      </c>
      <c r="E31" s="9">
        <f t="shared" si="9"/>
        <v>0.1875</v>
      </c>
      <c r="G31" t="s">
        <v>117</v>
      </c>
      <c r="H31">
        <f>B3+C4+D5+E6</f>
        <v>66</v>
      </c>
      <c r="I31" s="9">
        <f t="shared" si="7"/>
        <v>7.4324324324324328E-2</v>
      </c>
      <c r="J31">
        <v>4</v>
      </c>
      <c r="K31" s="9">
        <f t="shared" si="10"/>
        <v>6.25E-2</v>
      </c>
      <c r="O31" s="11"/>
      <c r="Q31" s="9"/>
      <c r="V31" s="7"/>
    </row>
    <row r="32" spans="1:23" x14ac:dyDescent="0.25">
      <c r="A32" t="s">
        <v>73</v>
      </c>
      <c r="B32">
        <f>SUM(B3:B7, C3:C7, D3:D7, E3:E7, F3:F6)</f>
        <v>413</v>
      </c>
      <c r="C32" s="11">
        <f t="shared" si="8"/>
        <v>0.46509009009009011</v>
      </c>
      <c r="D32">
        <v>24</v>
      </c>
      <c r="E32" s="9">
        <f t="shared" si="9"/>
        <v>0.375</v>
      </c>
      <c r="G32" t="s">
        <v>118</v>
      </c>
      <c r="H32">
        <f>SUM(B3:B6) + SUM(C3:C6) + SUM(D3:D6) + SUM(E3:E6)</f>
        <v>170</v>
      </c>
      <c r="I32" s="9">
        <f t="shared" si="7"/>
        <v>0.19144144144144143</v>
      </c>
      <c r="J32">
        <v>16</v>
      </c>
      <c r="K32" s="9">
        <f t="shared" si="10"/>
        <v>0.25</v>
      </c>
      <c r="O32" s="11"/>
      <c r="Q32" s="9"/>
      <c r="V32" s="7"/>
    </row>
    <row r="33" spans="1:22" x14ac:dyDescent="0.25">
      <c r="A33" t="s">
        <v>74</v>
      </c>
      <c r="B33">
        <f>SUM(B3:B10, C3:C9, D3:D8, E3:E7, F3:F6, G3:G5, H3:H4, I3)</f>
        <v>648</v>
      </c>
      <c r="C33" s="11">
        <f t="shared" si="8"/>
        <v>0.72972972972972971</v>
      </c>
      <c r="D33">
        <v>36</v>
      </c>
      <c r="E33" s="9">
        <f t="shared" si="9"/>
        <v>0.5625</v>
      </c>
      <c r="G33" t="s">
        <v>119</v>
      </c>
      <c r="H33">
        <f>SUM(B3:B9)+SUM(C3:C8)+SUM(D3:D7)+SUM(E3:E6)+SUM(F3:F5)+SUM(G3:G4)+H3</f>
        <v>289</v>
      </c>
      <c r="I33" s="9">
        <f t="shared" si="7"/>
        <v>0.32545045045045046</v>
      </c>
      <c r="J33">
        <v>28</v>
      </c>
      <c r="K33" s="9">
        <f t="shared" si="10"/>
        <v>0.4375</v>
      </c>
      <c r="O33" s="11"/>
      <c r="Q33" s="9"/>
      <c r="V33" s="7"/>
    </row>
    <row r="34" spans="1:22" x14ac:dyDescent="0.25">
      <c r="A34" t="s">
        <v>75</v>
      </c>
      <c r="B34">
        <f>SUM(B9:B10, C8:C10, D7:D9, E6:E8, F5:F7, G4:G6, H3:H5, I3:I4)</f>
        <v>584</v>
      </c>
      <c r="C34" s="11">
        <f t="shared" si="8"/>
        <v>0.65765765765765771</v>
      </c>
      <c r="D34">
        <v>22</v>
      </c>
      <c r="E34" s="9">
        <f t="shared" si="9"/>
        <v>0.34375</v>
      </c>
      <c r="G34" t="s">
        <v>120</v>
      </c>
      <c r="H34">
        <f>B10+C9+D8+E7+F6+G5+H4+I3</f>
        <v>359</v>
      </c>
      <c r="I34" s="22">
        <f t="shared" si="7"/>
        <v>0.40427927927927926</v>
      </c>
      <c r="J34">
        <v>8</v>
      </c>
      <c r="K34" s="9">
        <f t="shared" si="10"/>
        <v>0.125</v>
      </c>
      <c r="O34" s="11"/>
      <c r="Q34" s="9"/>
      <c r="V34" s="7"/>
    </row>
    <row r="35" spans="1:22" x14ac:dyDescent="0.25">
      <c r="A35" t="s">
        <v>76</v>
      </c>
      <c r="B35">
        <f>SUM(E6:E7, F6:F7)</f>
        <v>247</v>
      </c>
      <c r="C35" s="11">
        <f t="shared" si="8"/>
        <v>0.27815315315315314</v>
      </c>
      <c r="D35">
        <v>4</v>
      </c>
      <c r="E35" s="9">
        <f t="shared" si="9"/>
        <v>6.25E-2</v>
      </c>
      <c r="G35" t="s">
        <v>121</v>
      </c>
      <c r="H35">
        <f>E7+F6</f>
        <v>168</v>
      </c>
      <c r="I35" s="22">
        <f t="shared" si="7"/>
        <v>0.1891891891891892</v>
      </c>
      <c r="J35">
        <v>2</v>
      </c>
      <c r="K35" s="9">
        <f t="shared" si="10"/>
        <v>3.125E-2</v>
      </c>
      <c r="O35" s="11"/>
      <c r="Q35" s="9"/>
      <c r="V35" s="7"/>
    </row>
    <row r="36" spans="1:22" x14ac:dyDescent="0.25">
      <c r="C36" s="11"/>
      <c r="E36" s="9"/>
      <c r="I36" s="9"/>
      <c r="K36" s="9"/>
      <c r="O36" s="11"/>
      <c r="Q36" s="9"/>
      <c r="V36" s="7"/>
    </row>
    <row r="37" spans="1:22" x14ac:dyDescent="0.25">
      <c r="A37" t="s">
        <v>124</v>
      </c>
      <c r="B37">
        <f>B29-B35</f>
        <v>641</v>
      </c>
      <c r="C37" s="11">
        <v>1</v>
      </c>
      <c r="D37">
        <v>60</v>
      </c>
      <c r="E37" s="9">
        <v>1</v>
      </c>
      <c r="G37" t="s">
        <v>125</v>
      </c>
      <c r="H37">
        <f>H29-H35</f>
        <v>720</v>
      </c>
      <c r="I37" s="9">
        <v>1</v>
      </c>
      <c r="J37">
        <v>62</v>
      </c>
      <c r="K37" s="9">
        <v>1</v>
      </c>
      <c r="O37" s="11"/>
      <c r="Q37" s="9"/>
      <c r="V37" s="7"/>
    </row>
    <row r="38" spans="1:22" x14ac:dyDescent="0.25">
      <c r="A38" t="s">
        <v>80</v>
      </c>
      <c r="B38">
        <f>B34-B35</f>
        <v>337</v>
      </c>
      <c r="C38" s="11">
        <f>B38/B$37</f>
        <v>0.52574102964118563</v>
      </c>
      <c r="D38">
        <v>18</v>
      </c>
      <c r="E38" s="9">
        <f>D38/D$37</f>
        <v>0.3</v>
      </c>
      <c r="G38" t="s">
        <v>122</v>
      </c>
      <c r="H38">
        <f>H34-E7-F6</f>
        <v>191</v>
      </c>
      <c r="I38" s="9">
        <f>H38/$H$37</f>
        <v>0.26527777777777778</v>
      </c>
      <c r="J38">
        <v>6</v>
      </c>
      <c r="K38" s="9">
        <f>J38/J$37</f>
        <v>9.6774193548387094E-2</v>
      </c>
      <c r="O38" s="11"/>
      <c r="Q38" s="9"/>
      <c r="V38" s="7"/>
    </row>
    <row r="39" spans="1:22" x14ac:dyDescent="0.25">
      <c r="C39" s="10"/>
      <c r="E39" s="9"/>
      <c r="O39" s="11"/>
      <c r="Q39" s="9"/>
      <c r="V39" s="7"/>
    </row>
    <row r="40" spans="1:22" x14ac:dyDescent="0.25">
      <c r="A40" t="s">
        <v>81</v>
      </c>
      <c r="B40">
        <f>B29-B34</f>
        <v>304</v>
      </c>
      <c r="C40" s="10">
        <f>B40/B$40</f>
        <v>1</v>
      </c>
      <c r="D40">
        <v>42</v>
      </c>
      <c r="E40" s="9">
        <f>D40/D$40</f>
        <v>1</v>
      </c>
      <c r="K40" s="9"/>
      <c r="O40" s="10"/>
      <c r="Q40" s="9"/>
      <c r="V40" s="7"/>
    </row>
    <row r="41" spans="1:22" x14ac:dyDescent="0.25">
      <c r="A41" t="s">
        <v>82</v>
      </c>
      <c r="B41">
        <f>B30</f>
        <v>19</v>
      </c>
      <c r="C41" s="11">
        <f>B41/B$40</f>
        <v>6.25E-2</v>
      </c>
      <c r="D41">
        <v>3</v>
      </c>
      <c r="E41" s="9">
        <f>D41/D$40</f>
        <v>7.1428571428571425E-2</v>
      </c>
      <c r="K41" s="9"/>
      <c r="O41" s="10"/>
      <c r="Q41" s="9"/>
      <c r="V41" s="7"/>
    </row>
    <row r="42" spans="1:22" x14ac:dyDescent="0.25">
      <c r="A42" t="s">
        <v>77</v>
      </c>
      <c r="B42">
        <f>B31-(SUM(E6:E7,F6))</f>
        <v>81</v>
      </c>
      <c r="C42" s="11">
        <f>B42/B$40</f>
        <v>0.26644736842105265</v>
      </c>
      <c r="D42">
        <v>9</v>
      </c>
      <c r="E42" s="9">
        <f>D42/D$40</f>
        <v>0.21428571428571427</v>
      </c>
      <c r="I42" s="9"/>
      <c r="K42" s="9"/>
      <c r="O42" s="11"/>
      <c r="Q42" s="9"/>
      <c r="V42" s="7"/>
    </row>
    <row r="43" spans="1:22" x14ac:dyDescent="0.25">
      <c r="A43" t="s">
        <v>78</v>
      </c>
      <c r="B43">
        <f>$B$32-SUM($D$7, $E$6:E$7, $F$5:$F$6)</f>
        <v>158</v>
      </c>
      <c r="C43" s="11">
        <f>B43/B$40</f>
        <v>0.51973684210526316</v>
      </c>
      <c r="D43">
        <v>19</v>
      </c>
      <c r="E43" s="9">
        <f>D43/D$40</f>
        <v>0.45238095238095238</v>
      </c>
      <c r="K43" s="9"/>
      <c r="O43" s="11"/>
      <c r="Q43" s="9"/>
      <c r="V43" s="7"/>
    </row>
    <row r="44" spans="1:22" x14ac:dyDescent="0.25">
      <c r="A44" t="s">
        <v>79</v>
      </c>
      <c r="B44">
        <f>B$33-SUM(B$9:B$10, C$8:C$9, D$7:D$8, E$6:E$7, F$5:F$6, G$4:G$5, H$3:H$4, I$3)</f>
        <v>170</v>
      </c>
      <c r="C44" s="11">
        <f>B44/B$40</f>
        <v>0.55921052631578949</v>
      </c>
      <c r="D44">
        <v>21</v>
      </c>
      <c r="E44" s="9">
        <f>D44/D$40</f>
        <v>0.5</v>
      </c>
      <c r="K44" s="9"/>
      <c r="O44" s="11"/>
      <c r="Q44" s="9"/>
      <c r="V44" s="7"/>
    </row>
    <row r="45" spans="1:22" x14ac:dyDescent="0.25">
      <c r="O45" s="11"/>
      <c r="Q45" s="9"/>
      <c r="V45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O1" sqref="O1"/>
    </sheetView>
  </sheetViews>
  <sheetFormatPr defaultColWidth="8.7109375" defaultRowHeight="15" x14ac:dyDescent="0.25"/>
  <cols>
    <col min="1" max="1" width="17.7109375" customWidth="1"/>
  </cols>
  <sheetData>
    <row r="1" spans="1:10" x14ac:dyDescent="0.25">
      <c r="A1" t="s">
        <v>123</v>
      </c>
    </row>
    <row r="2" spans="1:10" x14ac:dyDescent="0.25">
      <c r="A2" s="8" t="s">
        <v>108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1" t="s">
        <v>61</v>
      </c>
      <c r="J3" s="4"/>
    </row>
    <row r="4" spans="1:10" x14ac:dyDescent="0.25">
      <c r="A4" s="2" t="s">
        <v>55</v>
      </c>
      <c r="B4" s="28">
        <f>('Version 2 (GI2) on-site'!B16 + 'Version 3 (GI3) on-site'!B16)/2</f>
        <v>3.2072368421052632E-3</v>
      </c>
      <c r="C4" s="28">
        <f>('Version 2 (GI2) on-site'!C16 + 'Version 3 (GI3) on-site'!C16)/2</f>
        <v>9.6217105263157882E-3</v>
      </c>
      <c r="D4" s="28">
        <f>('Version 2 (GI2) on-site'!D16 + 'Version 3 (GI3) on-site'!D16)/2</f>
        <v>4.7697368421052632E-3</v>
      </c>
      <c r="E4" s="28">
        <f>('Version 2 (GI2) on-site'!E16 + 'Version 3 (GI3) on-site'!E16)/2</f>
        <v>1.9161184210526316E-2</v>
      </c>
      <c r="F4" s="28">
        <f>('Version 2 (GI2) on-site'!F16 + 'Version 3 (GI3) on-site'!F16)/2</f>
        <v>1.4226973684210525E-2</v>
      </c>
      <c r="G4" s="28">
        <f>('Version 2 (GI2) on-site'!G16 + 'Version 3 (GI3) on-site'!G16)/2</f>
        <v>8.1414473684210519E-3</v>
      </c>
      <c r="H4" s="28">
        <f>('Version 2 (GI2) on-site'!H16 + 'Version 3 (GI3) on-site'!H16)/2</f>
        <v>3.1250000000000002E-3</v>
      </c>
      <c r="I4" s="28">
        <f>('Version 2 (GI2) on-site'!I16 + 'Version 3 (GI3) on-site'!I16)/2</f>
        <v>6.3322368421052629E-3</v>
      </c>
      <c r="J4" s="31">
        <f>SUM(B4:I4)</f>
        <v>6.8585526315789472E-2</v>
      </c>
    </row>
    <row r="5" spans="1:10" x14ac:dyDescent="0.25">
      <c r="A5" s="3" t="s">
        <v>56</v>
      </c>
      <c r="B5" s="28">
        <f>('Version 2 (GI2) on-site'!B17 + 'Version 3 (GI3) on-site'!B17)/2</f>
        <v>0</v>
      </c>
      <c r="C5" s="28">
        <f>('Version 2 (GI2) on-site'!C17 + 'Version 3 (GI3) on-site'!C17)/2</f>
        <v>4.7697368421052632E-3</v>
      </c>
      <c r="D5" s="28">
        <f>('Version 2 (GI2) on-site'!D17 + 'Version 3 (GI3) on-site'!D17)/2</f>
        <v>1.7680921052631578E-2</v>
      </c>
      <c r="E5" s="28">
        <f>('Version 2 (GI2) on-site'!E17 + 'Version 3 (GI3) on-site'!E17)/2</f>
        <v>1.8914473684210526E-2</v>
      </c>
      <c r="F5" s="28">
        <f>('Version 2 (GI2) on-site'!F17 + 'Version 3 (GI3) on-site'!F17)/2</f>
        <v>1.1266447368421053E-2</v>
      </c>
      <c r="G5" s="28">
        <f>('Version 2 (GI2) on-site'!G17 + 'Version 3 (GI3) on-site'!G17)/2</f>
        <v>3.2072368421052632E-3</v>
      </c>
      <c r="H5" s="28">
        <f>('Version 2 (GI2) on-site'!H17 + 'Version 3 (GI3) on-site'!H17)/2</f>
        <v>6.4144736842105263E-3</v>
      </c>
      <c r="I5" s="28">
        <f>('Version 2 (GI2) on-site'!I17 + 'Version 3 (GI3) on-site'!I17)/2</f>
        <v>1.5625000000000001E-3</v>
      </c>
      <c r="J5" s="31">
        <f t="shared" ref="J5:J11" si="0">SUM(B5:I5)</f>
        <v>6.3815789473684201E-2</v>
      </c>
    </row>
    <row r="6" spans="1:10" x14ac:dyDescent="0.25">
      <c r="A6" t="s">
        <v>57</v>
      </c>
      <c r="B6" s="28">
        <f>('Version 2 (GI2) on-site'!B18 + 'Version 3 (GI3) on-site'!B18)/2</f>
        <v>0</v>
      </c>
      <c r="C6" s="28">
        <f>('Version 2 (GI2) on-site'!C18 + 'Version 3 (GI3) on-site'!C18)/2</f>
        <v>1.5625000000000001E-3</v>
      </c>
      <c r="D6" s="28">
        <f>('Version 2 (GI2) on-site'!D18 + 'Version 3 (GI3) on-site'!D18)/2</f>
        <v>2.5657894736842105E-2</v>
      </c>
      <c r="E6" s="28">
        <f>('Version 2 (GI2) on-site'!E18 + 'Version 3 (GI3) on-site'!E18)/2</f>
        <v>5.1233552631578944E-2</v>
      </c>
      <c r="F6" s="28">
        <f>('Version 2 (GI2) on-site'!F18 + 'Version 3 (GI3) on-site'!F18)/2</f>
        <v>1.9407894736842103E-2</v>
      </c>
      <c r="G6" s="28">
        <f>('Version 2 (GI2) on-site'!G18 + 'Version 3 (GI3) on-site'!G18)/2</f>
        <v>1.9161184210526316E-2</v>
      </c>
      <c r="H6" s="28">
        <f>('Version 2 (GI2) on-site'!H18 + 'Version 3 (GI3) on-site'!H18)/2</f>
        <v>6.4144736842105263E-3</v>
      </c>
      <c r="I6" s="28">
        <f>('Version 2 (GI2) on-site'!I18 + 'Version 3 (GI3) on-site'!I18)/2</f>
        <v>4.6874999999999998E-3</v>
      </c>
      <c r="J6" s="31">
        <f t="shared" si="0"/>
        <v>0.12812500000000002</v>
      </c>
    </row>
    <row r="7" spans="1:10" x14ac:dyDescent="0.25">
      <c r="A7" t="s">
        <v>59</v>
      </c>
      <c r="B7" s="28">
        <f>('Version 2 (GI2) on-site'!B19 + 'Version 3 (GI3) on-site'!B19)/2</f>
        <v>0</v>
      </c>
      <c r="C7" s="28">
        <f>('Version 2 (GI2) on-site'!C19 + 'Version 3 (GI3) on-site'!C19)/2</f>
        <v>6.2500000000000003E-3</v>
      </c>
      <c r="D7" s="28">
        <f>('Version 2 (GI2) on-site'!D19 + 'Version 3 (GI3) on-site'!D19)/2</f>
        <v>4.1694078947368422E-2</v>
      </c>
      <c r="E7" s="28">
        <f>('Version 2 (GI2) on-site'!E19 + 'Version 3 (GI3) on-site'!E19)/2</f>
        <v>7.417763157894737E-2</v>
      </c>
      <c r="F7" s="28">
        <f>('Version 2 (GI2) on-site'!F19 + 'Version 3 (GI3) on-site'!F19)/2</f>
        <v>6.5789473684210537E-2</v>
      </c>
      <c r="G7" s="28">
        <f>('Version 2 (GI2) on-site'!G19 + 'Version 3 (GI3) on-site'!G19)/2</f>
        <v>9.6217105263157882E-3</v>
      </c>
      <c r="H7" s="28">
        <f>('Version 2 (GI2) on-site'!H19 + 'Version 3 (GI3) on-site'!H19)/2</f>
        <v>4.7697368421052632E-3</v>
      </c>
      <c r="I7" s="28">
        <f>('Version 2 (GI2) on-site'!I19 + 'Version 3 (GI3) on-site'!I19)/2</f>
        <v>0</v>
      </c>
      <c r="J7" s="31">
        <f t="shared" si="0"/>
        <v>0.20230263157894737</v>
      </c>
    </row>
    <row r="8" spans="1:10" x14ac:dyDescent="0.25">
      <c r="A8" t="s">
        <v>60</v>
      </c>
      <c r="B8" s="28">
        <f>('Version 2 (GI2) on-site'!B20 + 'Version 3 (GI3) on-site'!B20)/2</f>
        <v>1.5625000000000001E-3</v>
      </c>
      <c r="C8" s="28">
        <f>('Version 2 (GI2) on-site'!C20 + 'Version 3 (GI3) on-site'!C20)/2</f>
        <v>4.7697368421052632E-3</v>
      </c>
      <c r="D8" s="28">
        <f>('Version 2 (GI2) on-site'!D20 + 'Version 3 (GI3) on-site'!D20)/2</f>
        <v>7.0559210526315794E-2</v>
      </c>
      <c r="E8" s="28">
        <f>('Version 2 (GI2) on-site'!E20 + 'Version 3 (GI3) on-site'!E20)/2</f>
        <v>0.16652960526315791</v>
      </c>
      <c r="F8" s="28">
        <f>('Version 2 (GI2) on-site'!F20 + 'Version 3 (GI3) on-site'!F20)/2</f>
        <v>5.1809210526315791E-2</v>
      </c>
      <c r="G8" s="28">
        <f>('Version 2 (GI2) on-site'!G20 + 'Version 3 (GI3) on-site'!G20)/2</f>
        <v>9.5394736842105265E-3</v>
      </c>
      <c r="H8" s="28">
        <f>('Version 2 (GI2) on-site'!H20 + 'Version 3 (GI3) on-site'!H20)/2</f>
        <v>1.5625000000000001E-3</v>
      </c>
      <c r="I8" s="28">
        <f>('Version 2 (GI2) on-site'!I20 + 'Version 3 (GI3) on-site'!I20)/2</f>
        <v>3.2072368421052632E-3</v>
      </c>
      <c r="J8" s="31">
        <f t="shared" si="0"/>
        <v>0.30953947368421064</v>
      </c>
    </row>
    <row r="9" spans="1:10" x14ac:dyDescent="0.25">
      <c r="A9" t="s">
        <v>62</v>
      </c>
      <c r="B9" s="28">
        <f>('Version 2 (GI2) on-site'!B21 + 'Version 3 (GI3) on-site'!B21)/2</f>
        <v>0</v>
      </c>
      <c r="C9" s="28">
        <f>('Version 2 (GI2) on-site'!C21 + 'Version 3 (GI3) on-site'!C21)/2</f>
        <v>9.7039473684210516E-3</v>
      </c>
      <c r="D9" s="28">
        <f>('Version 2 (GI2) on-site'!D21 + 'Version 3 (GI3) on-site'!D21)/2</f>
        <v>6.8914473684210525E-2</v>
      </c>
      <c r="E9" s="28">
        <f>('Version 2 (GI2) on-site'!E21 + 'Version 3 (GI3) on-site'!E21)/2</f>
        <v>3.9720394736842107E-2</v>
      </c>
      <c r="F9" s="28">
        <f>('Version 2 (GI2) on-site'!F21 + 'Version 3 (GI3) on-site'!F21)/2</f>
        <v>1.611842105263158E-2</v>
      </c>
      <c r="G9" s="28">
        <f>('Version 2 (GI2) on-site'!G21 + 'Version 3 (GI3) on-site'!G21)/2</f>
        <v>4.8519736842105258E-3</v>
      </c>
      <c r="H9" s="28">
        <f>('Version 2 (GI2) on-site'!H21 + 'Version 3 (GI3) on-site'!H21)/2</f>
        <v>1.5625000000000001E-3</v>
      </c>
      <c r="I9" s="28">
        <f>('Version 2 (GI2) on-site'!I21 + 'Version 3 (GI3) on-site'!I21)/2</f>
        <v>0</v>
      </c>
      <c r="J9" s="31">
        <f t="shared" si="0"/>
        <v>0.14087171052631578</v>
      </c>
    </row>
    <row r="10" spans="1:10" x14ac:dyDescent="0.25">
      <c r="A10" t="s">
        <v>63</v>
      </c>
      <c r="B10" s="28">
        <f>('Version 2 (GI2) on-site'!B22 + 'Version 3 (GI3) on-site'!B22)/2</f>
        <v>1.5625000000000001E-3</v>
      </c>
      <c r="C10" s="28">
        <f>('Version 2 (GI2) on-site'!C22 + 'Version 3 (GI3) on-site'!C22)/2</f>
        <v>1.1019736842105263E-2</v>
      </c>
      <c r="D10" s="28">
        <f>('Version 2 (GI2) on-site'!D22 + 'Version 3 (GI3) on-site'!D22)/2</f>
        <v>2.7467105263157897E-2</v>
      </c>
      <c r="E10" s="28">
        <f>('Version 2 (GI2) on-site'!E22 + 'Version 3 (GI3) on-site'!E22)/2</f>
        <v>2.2697368421052633E-2</v>
      </c>
      <c r="F10" s="28">
        <f>('Version 2 (GI2) on-site'!F22 + 'Version 3 (GI3) on-site'!F22)/2</f>
        <v>1.5625000000000001E-3</v>
      </c>
      <c r="G10" s="28">
        <f>('Version 2 (GI2) on-site'!G22 + 'Version 3 (GI3) on-site'!G22)/2</f>
        <v>0</v>
      </c>
      <c r="H10" s="28">
        <f>('Version 2 (GI2) on-site'!H22 + 'Version 3 (GI3) on-site'!H22)/2</f>
        <v>0</v>
      </c>
      <c r="I10" s="28">
        <f>('Version 2 (GI2) on-site'!I22 + 'Version 3 (GI3) on-site'!I22)/2</f>
        <v>0</v>
      </c>
      <c r="J10" s="31">
        <f t="shared" si="0"/>
        <v>6.4309210526315788E-2</v>
      </c>
    </row>
    <row r="11" spans="1:10" x14ac:dyDescent="0.25">
      <c r="A11" t="s">
        <v>64</v>
      </c>
      <c r="B11" s="28">
        <f>('Version 2 (GI2) on-site'!B23 + 'Version 3 (GI3) on-site'!B23)/2</f>
        <v>6.2500000000000003E-3</v>
      </c>
      <c r="C11" s="28">
        <f>('Version 2 (GI2) on-site'!C23 + 'Version 3 (GI3) on-site'!C23)/2</f>
        <v>0</v>
      </c>
      <c r="D11" s="28">
        <f>('Version 2 (GI2) on-site'!D23 + 'Version 3 (GI3) on-site'!D23)/2</f>
        <v>4.7697368421052632E-3</v>
      </c>
      <c r="E11" s="28">
        <f>('Version 2 (GI2) on-site'!E23 + 'Version 3 (GI3) on-site'!E23)/2</f>
        <v>1.5625000000000001E-3</v>
      </c>
      <c r="F11" s="28">
        <f>('Version 2 (GI2) on-site'!F23 + 'Version 3 (GI3) on-site'!F23)/2</f>
        <v>3.2894736842105261E-3</v>
      </c>
      <c r="G11" s="28">
        <f>('Version 2 (GI2) on-site'!G23 + 'Version 3 (GI3) on-site'!G23)/2</f>
        <v>0</v>
      </c>
      <c r="H11" s="28">
        <f>('Version 2 (GI2) on-site'!H23 + 'Version 3 (GI3) on-site'!H23)/2</f>
        <v>1.6447368421052631E-3</v>
      </c>
      <c r="I11" s="28">
        <f>('Version 2 (GI2) on-site'!I23 + 'Version 3 (GI3) on-site'!I23)/2</f>
        <v>4.9342105263157892E-3</v>
      </c>
      <c r="J11" s="31">
        <f t="shared" si="0"/>
        <v>2.2450657894736839E-2</v>
      </c>
    </row>
    <row r="12" spans="1:10" x14ac:dyDescent="0.25">
      <c r="A12" s="5" t="s">
        <v>91</v>
      </c>
      <c r="B12" s="29">
        <f>SUM(B4:B11)</f>
        <v>1.2582236842105264E-2</v>
      </c>
      <c r="C12" s="29">
        <f t="shared" ref="C12:I12" si="1">SUM(C4:C11)</f>
        <v>4.7697368421052627E-2</v>
      </c>
      <c r="D12" s="29">
        <f t="shared" si="1"/>
        <v>0.26151315789473684</v>
      </c>
      <c r="E12" s="29">
        <f t="shared" si="1"/>
        <v>0.3939967105263158</v>
      </c>
      <c r="F12" s="29">
        <f t="shared" si="1"/>
        <v>0.18347039473684212</v>
      </c>
      <c r="G12" s="29">
        <f t="shared" si="1"/>
        <v>5.4523026315789473E-2</v>
      </c>
      <c r="H12" s="29">
        <f t="shared" si="1"/>
        <v>2.5493421052631582E-2</v>
      </c>
      <c r="I12" s="29">
        <f t="shared" si="1"/>
        <v>2.0723684210526318E-2</v>
      </c>
      <c r="J12" s="30">
        <f>SUM(B12:I12)</f>
        <v>1</v>
      </c>
    </row>
    <row r="13" spans="1:10" x14ac:dyDescent="0.25">
      <c r="A13" s="5" t="s">
        <v>88</v>
      </c>
      <c r="B13" s="6" t="s">
        <v>64</v>
      </c>
      <c r="C13" s="6" t="s">
        <v>63</v>
      </c>
      <c r="D13" s="6" t="s">
        <v>62</v>
      </c>
      <c r="E13" s="6" t="s">
        <v>60</v>
      </c>
      <c r="F13" s="6" t="s">
        <v>59</v>
      </c>
      <c r="G13" s="6" t="s">
        <v>57</v>
      </c>
      <c r="H13" s="6" t="s">
        <v>89</v>
      </c>
      <c r="I13" s="6" t="s">
        <v>55</v>
      </c>
      <c r="J13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1"/>
  <sheetViews>
    <sheetView workbookViewId="0"/>
  </sheetViews>
  <sheetFormatPr defaultColWidth="8.7109375" defaultRowHeight="15" x14ac:dyDescent="0.25"/>
  <cols>
    <col min="1" max="1" width="15" customWidth="1"/>
    <col min="2" max="2" width="13" customWidth="1"/>
    <col min="3" max="3" width="12.7109375" customWidth="1"/>
    <col min="4" max="4" width="12.85546875" customWidth="1"/>
    <col min="5" max="5" width="12.5703125" customWidth="1"/>
    <col min="6" max="6" width="12" customWidth="1"/>
    <col min="7" max="7" width="12.7109375" customWidth="1"/>
    <col min="8" max="8" width="10.5703125" customWidth="1"/>
    <col min="9" max="9" width="11.140625" customWidth="1"/>
  </cols>
  <sheetData>
    <row r="1" spans="1:38" x14ac:dyDescent="0.25">
      <c r="A1" s="1" t="s">
        <v>126</v>
      </c>
      <c r="J1" s="4" t="s">
        <v>58</v>
      </c>
      <c r="K1" s="4" t="s">
        <v>90</v>
      </c>
      <c r="M1" s="7"/>
      <c r="N1" s="7"/>
      <c r="O1" s="7"/>
      <c r="P1" s="7"/>
      <c r="Q1" s="7"/>
      <c r="R1" s="7"/>
      <c r="S1" s="7"/>
      <c r="T1" s="7"/>
      <c r="U1" s="7"/>
      <c r="V1" s="7"/>
    </row>
    <row r="2" spans="1:38" x14ac:dyDescent="0.25">
      <c r="A2" s="1" t="s">
        <v>61</v>
      </c>
      <c r="J2" s="4"/>
      <c r="K2" s="4"/>
      <c r="M2" s="7"/>
      <c r="N2" s="7"/>
      <c r="O2" s="7"/>
      <c r="P2" s="7"/>
      <c r="Q2" s="7"/>
      <c r="R2" s="7"/>
      <c r="S2" s="7"/>
      <c r="T2" s="7"/>
      <c r="U2" s="7"/>
      <c r="V2" s="7"/>
    </row>
    <row r="3" spans="1:38" x14ac:dyDescent="0.25">
      <c r="A3" s="2" t="s">
        <v>55</v>
      </c>
      <c r="B3">
        <v>0</v>
      </c>
      <c r="C3">
        <v>2</v>
      </c>
      <c r="D3">
        <v>6</v>
      </c>
      <c r="E3">
        <v>4</v>
      </c>
      <c r="F3">
        <v>0</v>
      </c>
      <c r="G3">
        <v>3</v>
      </c>
      <c r="H3">
        <v>2</v>
      </c>
      <c r="I3">
        <v>8</v>
      </c>
      <c r="J3" s="4">
        <f>SUM(B3:I3)</f>
        <v>25</v>
      </c>
      <c r="K3" s="12">
        <f>J3/J$11</f>
        <v>6.9444444444444448E-2</v>
      </c>
      <c r="M3" s="7"/>
      <c r="N3" s="7"/>
      <c r="O3" s="7"/>
      <c r="P3" s="7"/>
      <c r="Q3" s="7"/>
      <c r="R3" s="7"/>
      <c r="S3" s="7"/>
      <c r="T3" s="7"/>
      <c r="U3" s="7"/>
      <c r="V3" s="7"/>
    </row>
    <row r="4" spans="1:38" x14ac:dyDescent="0.25">
      <c r="A4" s="3" t="s">
        <v>56</v>
      </c>
      <c r="B4">
        <v>0</v>
      </c>
      <c r="C4">
        <v>2</v>
      </c>
      <c r="D4">
        <v>3</v>
      </c>
      <c r="E4">
        <v>2</v>
      </c>
      <c r="F4">
        <v>1</v>
      </c>
      <c r="G4">
        <v>3</v>
      </c>
      <c r="H4">
        <v>2</v>
      </c>
      <c r="I4">
        <v>1</v>
      </c>
      <c r="J4" s="4">
        <f t="shared" ref="J4:J10" si="0">SUM(B4:I4)</f>
        <v>14</v>
      </c>
      <c r="K4" s="12">
        <f t="shared" ref="K4:K10" si="1">J4/J$11</f>
        <v>3.888888888888889E-2</v>
      </c>
      <c r="M4" s="7"/>
      <c r="N4" s="7"/>
      <c r="O4" s="7"/>
      <c r="P4" s="7"/>
      <c r="Q4" s="7"/>
      <c r="R4" s="7"/>
      <c r="S4" s="7"/>
      <c r="T4" s="7"/>
      <c r="U4" s="7"/>
      <c r="V4" s="7"/>
    </row>
    <row r="5" spans="1:38" x14ac:dyDescent="0.25">
      <c r="A5" t="s">
        <v>57</v>
      </c>
      <c r="B5">
        <v>0</v>
      </c>
      <c r="C5">
        <v>0</v>
      </c>
      <c r="D5">
        <v>11</v>
      </c>
      <c r="E5">
        <v>22</v>
      </c>
      <c r="F5">
        <v>23</v>
      </c>
      <c r="G5">
        <v>15</v>
      </c>
      <c r="H5">
        <v>0</v>
      </c>
      <c r="I5">
        <v>0</v>
      </c>
      <c r="J5" s="4">
        <f t="shared" si="0"/>
        <v>71</v>
      </c>
      <c r="K5" s="12">
        <f t="shared" si="1"/>
        <v>0.19722222222222222</v>
      </c>
      <c r="M5" s="7"/>
      <c r="N5" s="7"/>
      <c r="O5" s="7"/>
      <c r="P5" s="7"/>
      <c r="Q5" s="7"/>
      <c r="R5" s="7"/>
      <c r="S5" s="7"/>
      <c r="T5" s="7"/>
      <c r="U5" s="7"/>
      <c r="V5" s="7"/>
    </row>
    <row r="6" spans="1:38" x14ac:dyDescent="0.25">
      <c r="A6" t="s">
        <v>59</v>
      </c>
      <c r="B6">
        <v>0</v>
      </c>
      <c r="C6">
        <v>1</v>
      </c>
      <c r="D6">
        <v>6</v>
      </c>
      <c r="E6">
        <v>39</v>
      </c>
      <c r="F6">
        <v>19</v>
      </c>
      <c r="G6">
        <v>10</v>
      </c>
      <c r="H6">
        <v>2</v>
      </c>
      <c r="I6">
        <v>0</v>
      </c>
      <c r="J6" s="4">
        <f t="shared" si="0"/>
        <v>77</v>
      </c>
      <c r="K6" s="12">
        <f t="shared" si="1"/>
        <v>0.21388888888888888</v>
      </c>
      <c r="M6" s="7"/>
      <c r="N6" s="7"/>
      <c r="O6" s="7"/>
      <c r="P6" s="7"/>
      <c r="Q6" s="7"/>
      <c r="R6" s="7"/>
      <c r="S6" s="7"/>
      <c r="T6" s="7"/>
      <c r="U6" s="7"/>
      <c r="V6" s="7"/>
    </row>
    <row r="7" spans="1:38" x14ac:dyDescent="0.25">
      <c r="A7" t="s">
        <v>60</v>
      </c>
      <c r="B7">
        <v>0</v>
      </c>
      <c r="C7">
        <v>5</v>
      </c>
      <c r="D7">
        <v>20</v>
      </c>
      <c r="E7">
        <v>59</v>
      </c>
      <c r="F7">
        <v>12</v>
      </c>
      <c r="G7">
        <v>3</v>
      </c>
      <c r="H7">
        <v>4</v>
      </c>
      <c r="I7">
        <v>2</v>
      </c>
      <c r="J7" s="4">
        <f t="shared" si="0"/>
        <v>105</v>
      </c>
      <c r="K7" s="12">
        <f t="shared" si="1"/>
        <v>0.29166666666666669</v>
      </c>
      <c r="M7" s="7"/>
      <c r="N7" s="7"/>
      <c r="O7" s="7"/>
      <c r="P7" s="7"/>
      <c r="Q7" s="7"/>
      <c r="R7" s="7"/>
      <c r="S7" s="7"/>
      <c r="T7" s="7"/>
      <c r="U7" s="7"/>
      <c r="V7" s="7"/>
    </row>
    <row r="8" spans="1:38" x14ac:dyDescent="0.25">
      <c r="A8" t="s">
        <v>62</v>
      </c>
      <c r="B8">
        <v>0</v>
      </c>
      <c r="C8">
        <v>2</v>
      </c>
      <c r="D8">
        <v>17</v>
      </c>
      <c r="E8">
        <v>11</v>
      </c>
      <c r="F8">
        <v>1</v>
      </c>
      <c r="G8">
        <v>3</v>
      </c>
      <c r="H8">
        <v>0</v>
      </c>
      <c r="I8">
        <v>0</v>
      </c>
      <c r="J8" s="4">
        <f t="shared" si="0"/>
        <v>34</v>
      </c>
      <c r="K8" s="12">
        <f t="shared" si="1"/>
        <v>9.4444444444444442E-2</v>
      </c>
      <c r="M8" s="7"/>
      <c r="N8" s="7"/>
      <c r="O8" s="7"/>
      <c r="P8" s="7"/>
      <c r="Q8" s="7"/>
      <c r="R8" s="7"/>
      <c r="S8" s="7"/>
      <c r="T8" s="7"/>
      <c r="U8" s="7"/>
      <c r="V8" s="7"/>
    </row>
    <row r="9" spans="1:38" x14ac:dyDescent="0.25">
      <c r="A9" t="s">
        <v>63</v>
      </c>
      <c r="B9">
        <v>0</v>
      </c>
      <c r="C9">
        <v>12</v>
      </c>
      <c r="D9">
        <v>8</v>
      </c>
      <c r="E9">
        <v>7</v>
      </c>
      <c r="F9">
        <v>0</v>
      </c>
      <c r="G9">
        <v>1</v>
      </c>
      <c r="H9">
        <v>0</v>
      </c>
      <c r="I9">
        <v>0</v>
      </c>
      <c r="J9" s="4">
        <f t="shared" si="0"/>
        <v>28</v>
      </c>
      <c r="K9" s="12">
        <f t="shared" si="1"/>
        <v>7.7777777777777779E-2</v>
      </c>
      <c r="M9" s="7"/>
      <c r="N9" s="7"/>
      <c r="O9" s="7"/>
      <c r="P9" s="7"/>
      <c r="Q9" s="7"/>
      <c r="R9" s="7"/>
      <c r="S9" s="7"/>
      <c r="T9" s="7"/>
      <c r="U9" s="7"/>
      <c r="V9" s="7"/>
    </row>
    <row r="10" spans="1:38" x14ac:dyDescent="0.25">
      <c r="A10" t="s">
        <v>64</v>
      </c>
      <c r="B10">
        <v>1</v>
      </c>
      <c r="C10">
        <v>2</v>
      </c>
      <c r="D10">
        <v>0</v>
      </c>
      <c r="E10">
        <v>0</v>
      </c>
      <c r="F10">
        <v>0</v>
      </c>
      <c r="G10">
        <v>0</v>
      </c>
      <c r="H10">
        <v>2</v>
      </c>
      <c r="I10">
        <v>1</v>
      </c>
      <c r="J10" s="4">
        <f t="shared" si="0"/>
        <v>6</v>
      </c>
      <c r="K10" s="12">
        <f t="shared" si="1"/>
        <v>1.6666666666666666E-2</v>
      </c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38" x14ac:dyDescent="0.25">
      <c r="A11" s="5" t="s">
        <v>65</v>
      </c>
      <c r="B11" s="6">
        <f>SUM(B3:B10)</f>
        <v>1</v>
      </c>
      <c r="C11" s="6">
        <f t="shared" ref="C11:I11" si="2">SUM(C3:C10)</f>
        <v>26</v>
      </c>
      <c r="D11" s="6">
        <f t="shared" si="2"/>
        <v>71</v>
      </c>
      <c r="E11" s="6">
        <f t="shared" si="2"/>
        <v>144</v>
      </c>
      <c r="F11" s="6">
        <f t="shared" si="2"/>
        <v>56</v>
      </c>
      <c r="G11" s="6">
        <f t="shared" si="2"/>
        <v>38</v>
      </c>
      <c r="H11" s="6">
        <f t="shared" si="2"/>
        <v>12</v>
      </c>
      <c r="I11" s="6">
        <f t="shared" si="2"/>
        <v>12</v>
      </c>
      <c r="J11" s="4">
        <f>SUM(J3:J10)</f>
        <v>360</v>
      </c>
      <c r="K11" s="4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38" x14ac:dyDescent="0.25">
      <c r="A12" s="5" t="s">
        <v>91</v>
      </c>
      <c r="B12" s="13">
        <f>B11/$J$11</f>
        <v>2.7777777777777779E-3</v>
      </c>
      <c r="C12" s="13">
        <f t="shared" ref="C12:I12" si="3">C11/$J$11</f>
        <v>7.2222222222222215E-2</v>
      </c>
      <c r="D12" s="13">
        <f t="shared" si="3"/>
        <v>0.19722222222222222</v>
      </c>
      <c r="E12" s="13">
        <f t="shared" si="3"/>
        <v>0.4</v>
      </c>
      <c r="F12" s="13">
        <f t="shared" si="3"/>
        <v>0.15555555555555556</v>
      </c>
      <c r="G12" s="13">
        <f t="shared" si="3"/>
        <v>0.10555555555555556</v>
      </c>
      <c r="H12" s="13">
        <f t="shared" si="3"/>
        <v>3.3333333333333333E-2</v>
      </c>
      <c r="I12" s="13">
        <f t="shared" si="3"/>
        <v>3.3333333333333333E-2</v>
      </c>
      <c r="J12" s="19">
        <f>SUM(B12:I12)</f>
        <v>1</v>
      </c>
      <c r="K12" s="4"/>
      <c r="L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38" x14ac:dyDescent="0.25">
      <c r="A13" s="5" t="s">
        <v>88</v>
      </c>
      <c r="B13" s="6" t="s">
        <v>64</v>
      </c>
      <c r="C13" s="6" t="s">
        <v>63</v>
      </c>
      <c r="D13" s="6" t="s">
        <v>62</v>
      </c>
      <c r="E13" s="6" t="s">
        <v>60</v>
      </c>
      <c r="F13" s="6" t="s">
        <v>59</v>
      </c>
      <c r="G13" s="6" t="s">
        <v>57</v>
      </c>
      <c r="H13" s="6" t="s">
        <v>89</v>
      </c>
      <c r="I13" s="6" t="s">
        <v>55</v>
      </c>
      <c r="J13" s="4"/>
      <c r="K13" s="4"/>
      <c r="L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38" x14ac:dyDescent="0.25">
      <c r="A14" s="8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8" t="s">
        <v>127</v>
      </c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38" x14ac:dyDescent="0.25">
      <c r="A15" s="1" t="s">
        <v>61</v>
      </c>
      <c r="J15" s="4"/>
      <c r="K15" s="4"/>
      <c r="L15" s="7"/>
      <c r="M15" s="1" t="s">
        <v>61</v>
      </c>
      <c r="V15" s="4"/>
      <c r="W15" s="7"/>
      <c r="Y15" t="s">
        <v>202</v>
      </c>
      <c r="AE15" t="s">
        <v>213</v>
      </c>
      <c r="AJ15" t="s">
        <v>153</v>
      </c>
    </row>
    <row r="16" spans="1:38" x14ac:dyDescent="0.25">
      <c r="A16" s="2" t="s">
        <v>55</v>
      </c>
      <c r="B16" s="28">
        <f t="shared" ref="B16:I23" si="4">B3/$J$11</f>
        <v>0</v>
      </c>
      <c r="C16" s="20">
        <f t="shared" si="4"/>
        <v>5.5555555555555558E-3</v>
      </c>
      <c r="D16" s="20">
        <f t="shared" si="4"/>
        <v>1.6666666666666666E-2</v>
      </c>
      <c r="E16" s="20">
        <f t="shared" si="4"/>
        <v>1.1111111111111112E-2</v>
      </c>
      <c r="F16" s="20">
        <f t="shared" si="4"/>
        <v>0</v>
      </c>
      <c r="G16" s="20">
        <f t="shared" si="4"/>
        <v>8.3333333333333332E-3</v>
      </c>
      <c r="H16" s="20">
        <f t="shared" si="4"/>
        <v>5.5555555555555558E-3</v>
      </c>
      <c r="I16" s="20">
        <f t="shared" si="4"/>
        <v>2.2222222222222223E-2</v>
      </c>
      <c r="J16" s="12">
        <f>SUM(B16:I16)</f>
        <v>6.9444444444444448E-2</v>
      </c>
      <c r="K16" s="12"/>
      <c r="L16" s="7"/>
      <c r="M16" s="2" t="s">
        <v>55</v>
      </c>
      <c r="N16" s="20">
        <f>B16-'Version 3 (GI3) on-site'!B16</f>
        <v>-3.1250000000000002E-3</v>
      </c>
      <c r="O16" s="20">
        <f>C16-'Version 3 (GI3) on-site'!C16</f>
        <v>-3.8194444444444439E-3</v>
      </c>
      <c r="P16" s="20">
        <f>D16-'Version 3 (GI3) on-site'!D16</f>
        <v>1.0416666666666666E-2</v>
      </c>
      <c r="Q16" s="20">
        <f>E16-'Version 3 (GI3) on-site'!E16</f>
        <v>-1.0763888888888887E-2</v>
      </c>
      <c r="R16" s="20">
        <f>F16-'Version 3 (GI3) on-site'!F16</f>
        <v>-2.1874999999999999E-2</v>
      </c>
      <c r="S16" s="20">
        <f>G16-'Version 3 (GI3) on-site'!G16</f>
        <v>5.208333333333333E-3</v>
      </c>
      <c r="T16" s="20">
        <f>H16-'Version 3 (GI3) on-site'!H16</f>
        <v>-6.9444444444444458E-4</v>
      </c>
      <c r="U16" s="20">
        <f>I16-'Version 3 (GI3) on-site'!I16</f>
        <v>1.2847222222222223E-2</v>
      </c>
      <c r="V16" s="12">
        <f>SUM(N16:U16)</f>
        <v>-1.1805555555555554E-2</v>
      </c>
      <c r="W16" s="7"/>
      <c r="X16" s="41" t="s">
        <v>166</v>
      </c>
      <c r="Y16" t="s">
        <v>203</v>
      </c>
      <c r="Z16" t="s">
        <v>204</v>
      </c>
      <c r="AA16" t="s">
        <v>212</v>
      </c>
      <c r="AD16" s="41" t="s">
        <v>167</v>
      </c>
      <c r="AE16" t="s">
        <v>203</v>
      </c>
      <c r="AF16" t="s">
        <v>214</v>
      </c>
      <c r="AG16" t="s">
        <v>212</v>
      </c>
      <c r="AJ16" t="s">
        <v>145</v>
      </c>
      <c r="AK16" t="s">
        <v>146</v>
      </c>
      <c r="AL16" t="s">
        <v>150</v>
      </c>
    </row>
    <row r="17" spans="1:39" x14ac:dyDescent="0.25">
      <c r="A17" s="3" t="s">
        <v>56</v>
      </c>
      <c r="B17" s="20">
        <f t="shared" si="4"/>
        <v>0</v>
      </c>
      <c r="C17" s="20">
        <f t="shared" si="4"/>
        <v>5.5555555555555558E-3</v>
      </c>
      <c r="D17" s="20">
        <f t="shared" si="4"/>
        <v>8.3333333333333332E-3</v>
      </c>
      <c r="E17" s="20">
        <f t="shared" si="4"/>
        <v>5.5555555555555558E-3</v>
      </c>
      <c r="F17" s="20">
        <f t="shared" si="4"/>
        <v>2.7777777777777779E-3</v>
      </c>
      <c r="G17" s="20">
        <f t="shared" si="4"/>
        <v>8.3333333333333332E-3</v>
      </c>
      <c r="H17" s="20">
        <f t="shared" si="4"/>
        <v>5.5555555555555558E-3</v>
      </c>
      <c r="I17" s="20">
        <f t="shared" si="4"/>
        <v>2.7777777777777779E-3</v>
      </c>
      <c r="J17" s="12">
        <f t="shared" ref="J17:J23" si="5">SUM(B17:I17)</f>
        <v>3.888888888888889E-2</v>
      </c>
      <c r="K17" s="12"/>
      <c r="L17" s="7"/>
      <c r="M17" s="3" t="s">
        <v>56</v>
      </c>
      <c r="N17" s="20">
        <f>B17-'Version 3 (GI3) on-site'!B17</f>
        <v>0</v>
      </c>
      <c r="O17" s="20">
        <f>C17-'Version 3 (GI3) on-site'!C17</f>
        <v>-6.9444444444444458E-4</v>
      </c>
      <c r="P17" s="20">
        <f>D17-'Version 3 (GI3) on-site'!D17</f>
        <v>-7.2916666666666668E-3</v>
      </c>
      <c r="Q17" s="20">
        <f>E17-'Version 3 (GI3) on-site'!E17</f>
        <v>-2.5694444444444443E-2</v>
      </c>
      <c r="R17" s="20">
        <f>F17-'Version 3 (GI3) on-site'!F17</f>
        <v>-6.5972222222222213E-3</v>
      </c>
      <c r="S17" s="20">
        <f>G17-'Version 3 (GI3) on-site'!G17</f>
        <v>5.208333333333333E-3</v>
      </c>
      <c r="T17" s="20">
        <f>H17-'Version 3 (GI3) on-site'!H17</f>
        <v>-6.9444444444444458E-4</v>
      </c>
      <c r="U17" s="20">
        <f>I17-'Version 3 (GI3) on-site'!I17</f>
        <v>-3.4722222222222229E-4</v>
      </c>
      <c r="V17" s="12">
        <f t="shared" ref="V17:V23" si="6">SUM(N17:U17)</f>
        <v>-3.6111111111111101E-2</v>
      </c>
      <c r="W17" s="7"/>
      <c r="X17">
        <v>1</v>
      </c>
      <c r="Y17" s="35">
        <f>B24</f>
        <v>2.7777777777777779E-3</v>
      </c>
      <c r="Z17" s="35">
        <f>J23</f>
        <v>1.6666666666666666E-2</v>
      </c>
      <c r="AA17" s="35">
        <f>ABS(Y17-Z17)</f>
        <v>1.3888888888888888E-2</v>
      </c>
      <c r="AD17">
        <v>1</v>
      </c>
      <c r="AE17" s="35">
        <f>Y17</f>
        <v>2.7777777777777779E-3</v>
      </c>
      <c r="AF17" s="35">
        <f>J16</f>
        <v>6.9444444444444448E-2</v>
      </c>
      <c r="AG17" s="35">
        <f>ABS(AE17-AF17)</f>
        <v>6.6666666666666666E-2</v>
      </c>
      <c r="AJ17">
        <v>0.1</v>
      </c>
      <c r="AK17">
        <v>1.22</v>
      </c>
      <c r="AL17">
        <f>SQRT((AJ22+AJ23)/(AJ22*AJ23))</f>
        <v>0.14907119849998599</v>
      </c>
      <c r="AM17">
        <f>PRODUCT(AL17, AK17)</f>
        <v>0.18186686216998291</v>
      </c>
    </row>
    <row r="18" spans="1:39" x14ac:dyDescent="0.25">
      <c r="A18" t="s">
        <v>57</v>
      </c>
      <c r="B18" s="20">
        <f t="shared" si="4"/>
        <v>0</v>
      </c>
      <c r="C18" s="20">
        <f t="shared" si="4"/>
        <v>0</v>
      </c>
      <c r="D18" s="20">
        <f t="shared" si="4"/>
        <v>3.0555555555555555E-2</v>
      </c>
      <c r="E18" s="20">
        <f t="shared" si="4"/>
        <v>6.1111111111111109E-2</v>
      </c>
      <c r="F18" s="20">
        <f t="shared" si="4"/>
        <v>6.3888888888888884E-2</v>
      </c>
      <c r="G18" s="20">
        <f t="shared" si="4"/>
        <v>4.1666666666666664E-2</v>
      </c>
      <c r="H18" s="20">
        <f t="shared" si="4"/>
        <v>0</v>
      </c>
      <c r="I18" s="20">
        <f t="shared" si="4"/>
        <v>0</v>
      </c>
      <c r="J18" s="12">
        <f t="shared" si="5"/>
        <v>0.19722222222222222</v>
      </c>
      <c r="K18" s="12"/>
      <c r="L18" s="7"/>
      <c r="M18" t="s">
        <v>57</v>
      </c>
      <c r="N18" s="20">
        <f>B18-'Version 3 (GI3) on-site'!B18</f>
        <v>0</v>
      </c>
      <c r="O18" s="20">
        <f>C18-'Version 3 (GI3) on-site'!C18</f>
        <v>-3.1250000000000002E-3</v>
      </c>
      <c r="P18" s="20">
        <f>D18-'Version 3 (GI3) on-site'!D18</f>
        <v>5.5555555555555532E-3</v>
      </c>
      <c r="Q18" s="20">
        <f>E18-'Version 3 (GI3) on-site'!E18</f>
        <v>7.9861111111111105E-3</v>
      </c>
      <c r="R18" s="20">
        <f>F18-'Version 3 (GI3) on-site'!F18</f>
        <v>5.1388888888888887E-2</v>
      </c>
      <c r="S18" s="20">
        <f>G18-'Version 3 (GI3) on-site'!G18</f>
        <v>1.9791666666666666E-2</v>
      </c>
      <c r="T18" s="20">
        <f>H18-'Version 3 (GI3) on-site'!H18</f>
        <v>-6.2500000000000003E-3</v>
      </c>
      <c r="U18" s="20">
        <f>I18-'Version 3 (GI3) on-site'!I18</f>
        <v>-9.3749999999999997E-3</v>
      </c>
      <c r="V18" s="12">
        <f t="shared" si="6"/>
        <v>6.597222222222221E-2</v>
      </c>
      <c r="W18" s="7"/>
      <c r="X18" t="s">
        <v>205</v>
      </c>
      <c r="Y18" s="35">
        <f>B24+C24</f>
        <v>7.4999999999999997E-2</v>
      </c>
      <c r="Z18" s="35">
        <f>J23+J22</f>
        <v>9.4444444444444442E-2</v>
      </c>
      <c r="AA18" s="35">
        <f t="shared" ref="AA18:AA24" si="7">ABS(Y18-Z18)</f>
        <v>1.9444444444444445E-2</v>
      </c>
      <c r="AD18" t="s">
        <v>205</v>
      </c>
      <c r="AE18" s="35">
        <f t="shared" ref="AE18:AE24" si="8">Y18</f>
        <v>7.4999999999999997E-2</v>
      </c>
      <c r="AF18" s="35">
        <f>J16+J17</f>
        <v>0.10833333333333334</v>
      </c>
      <c r="AG18" s="35">
        <f t="shared" ref="AG18:AG24" si="9">ABS(AE18-AF18)</f>
        <v>3.333333333333334E-2</v>
      </c>
      <c r="AJ18">
        <v>0.05</v>
      </c>
      <c r="AK18">
        <v>1.36</v>
      </c>
      <c r="AM18">
        <f>AL17*AK18</f>
        <v>0.20273682995998096</v>
      </c>
    </row>
    <row r="19" spans="1:39" x14ac:dyDescent="0.25">
      <c r="A19" t="s">
        <v>59</v>
      </c>
      <c r="B19" s="20">
        <f t="shared" si="4"/>
        <v>0</v>
      </c>
      <c r="C19" s="20">
        <f t="shared" si="4"/>
        <v>2.7777777777777779E-3</v>
      </c>
      <c r="D19" s="20">
        <f t="shared" si="4"/>
        <v>1.6666666666666666E-2</v>
      </c>
      <c r="E19" s="20">
        <f t="shared" si="4"/>
        <v>0.10833333333333334</v>
      </c>
      <c r="F19" s="20">
        <f t="shared" si="4"/>
        <v>5.2777777777777778E-2</v>
      </c>
      <c r="G19" s="20">
        <f t="shared" si="4"/>
        <v>2.7777777777777776E-2</v>
      </c>
      <c r="H19" s="20">
        <f t="shared" si="4"/>
        <v>5.5555555555555558E-3</v>
      </c>
      <c r="I19" s="20">
        <f t="shared" si="4"/>
        <v>0</v>
      </c>
      <c r="J19" s="12">
        <f t="shared" si="5"/>
        <v>0.21388888888888888</v>
      </c>
      <c r="K19" s="12"/>
      <c r="L19" s="7"/>
      <c r="M19" t="s">
        <v>59</v>
      </c>
      <c r="N19" s="20">
        <f>B19-'Version 3 (GI3) on-site'!B19</f>
        <v>0</v>
      </c>
      <c r="O19" s="20">
        <f>C19-'Version 3 (GI3) on-site'!C19</f>
        <v>-9.7222222222222224E-3</v>
      </c>
      <c r="P19" s="20">
        <f>D19-'Version 3 (GI3) on-site'!D19</f>
        <v>-2.3958333333333335E-2</v>
      </c>
      <c r="Q19" s="20">
        <f>E19-'Version 3 (GI3) on-site'!E19</f>
        <v>5.2083333333333336E-2</v>
      </c>
      <c r="R19" s="20">
        <f>F19-'Version 3 (GI3) on-site'!F19</f>
        <v>-9.7222222222222224E-3</v>
      </c>
      <c r="S19" s="20">
        <f>G19-'Version 3 (GI3) on-site'!G19</f>
        <v>1.8402777777777775E-2</v>
      </c>
      <c r="T19" s="20">
        <f>H19-'Version 3 (GI3) on-site'!H19</f>
        <v>-6.9444444444444458E-4</v>
      </c>
      <c r="U19" s="20">
        <f>I19-'Version 3 (GI3) on-site'!I19</f>
        <v>0</v>
      </c>
      <c r="V19" s="12">
        <f t="shared" si="6"/>
        <v>2.6388888888888882E-2</v>
      </c>
      <c r="W19" s="7"/>
      <c r="X19" t="s">
        <v>206</v>
      </c>
      <c r="Y19" s="35">
        <f>B24+C24+D24</f>
        <v>0.2722222222222222</v>
      </c>
      <c r="Z19" s="35">
        <f>J23+J22+J21</f>
        <v>0.18888888888888888</v>
      </c>
      <c r="AA19" s="35">
        <f t="shared" si="7"/>
        <v>8.3333333333333315E-2</v>
      </c>
      <c r="AD19" t="s">
        <v>206</v>
      </c>
      <c r="AE19" s="35">
        <f t="shared" si="8"/>
        <v>0.2722222222222222</v>
      </c>
      <c r="AF19" s="35">
        <f>J16+J17+J18</f>
        <v>0.30555555555555558</v>
      </c>
      <c r="AG19" s="35">
        <f t="shared" si="9"/>
        <v>3.3333333333333381E-2</v>
      </c>
      <c r="AJ19">
        <v>0.01</v>
      </c>
      <c r="AK19">
        <v>1.63</v>
      </c>
      <c r="AM19">
        <f>AL17*AK19</f>
        <v>0.24298605355497713</v>
      </c>
    </row>
    <row r="20" spans="1:39" x14ac:dyDescent="0.25">
      <c r="A20" t="s">
        <v>60</v>
      </c>
      <c r="B20" s="20">
        <f t="shared" si="4"/>
        <v>0</v>
      </c>
      <c r="C20" s="20">
        <f t="shared" si="4"/>
        <v>1.3888888888888888E-2</v>
      </c>
      <c r="D20" s="20">
        <f t="shared" si="4"/>
        <v>5.5555555555555552E-2</v>
      </c>
      <c r="E20" s="20">
        <f t="shared" si="4"/>
        <v>0.16388888888888889</v>
      </c>
      <c r="F20" s="20">
        <f t="shared" si="4"/>
        <v>3.3333333333333333E-2</v>
      </c>
      <c r="G20" s="20">
        <f t="shared" si="4"/>
        <v>8.3333333333333332E-3</v>
      </c>
      <c r="H20" s="20">
        <f t="shared" si="4"/>
        <v>1.1111111111111112E-2</v>
      </c>
      <c r="I20" s="20">
        <f t="shared" si="4"/>
        <v>5.5555555555555558E-3</v>
      </c>
      <c r="J20" s="12">
        <f t="shared" si="5"/>
        <v>0.29166666666666669</v>
      </c>
      <c r="K20" s="12"/>
      <c r="L20" s="7"/>
      <c r="M20" t="s">
        <v>60</v>
      </c>
      <c r="N20" s="20">
        <f>B20-'Version 3 (GI3) on-site'!B20</f>
        <v>-3.1250000000000002E-3</v>
      </c>
      <c r="O20" s="20">
        <f>C20-'Version 3 (GI3) on-site'!C20</f>
        <v>7.6388888888888878E-3</v>
      </c>
      <c r="P20" s="20">
        <f>D20-'Version 3 (GI3) on-site'!D20</f>
        <v>-1.3194444444444453E-2</v>
      </c>
      <c r="Q20" s="20">
        <f>E20-'Version 3 (GI3) on-site'!E20</f>
        <v>-7.9861111111111105E-3</v>
      </c>
      <c r="R20" s="20">
        <f>F20-'Version 3 (GI3) on-site'!F20</f>
        <v>2.0833333333333329E-3</v>
      </c>
      <c r="S20" s="20">
        <f>G20-'Version 3 (GI3) on-site'!G20</f>
        <v>-4.1666666666666675E-3</v>
      </c>
      <c r="T20" s="20">
        <f>H20-'Version 3 (GI3) on-site'!H20</f>
        <v>7.9861111111111105E-3</v>
      </c>
      <c r="U20" s="20">
        <f>I20-'Version 3 (GI3) on-site'!I20</f>
        <v>2.4305555555555556E-3</v>
      </c>
      <c r="V20" s="12">
        <f t="shared" si="6"/>
        <v>-8.3333333333333436E-3</v>
      </c>
      <c r="W20" s="7"/>
      <c r="X20" t="s">
        <v>207</v>
      </c>
      <c r="Y20" s="35">
        <f>B24+C24+D24+E24</f>
        <v>0.67222222222222217</v>
      </c>
      <c r="Z20" s="35">
        <f>J23+J22+J21+J20</f>
        <v>0.48055555555555557</v>
      </c>
      <c r="AA20" s="35">
        <f t="shared" si="7"/>
        <v>0.1916666666666666</v>
      </c>
      <c r="AD20" t="s">
        <v>207</v>
      </c>
      <c r="AE20" s="35">
        <f t="shared" si="8"/>
        <v>0.67222222222222217</v>
      </c>
      <c r="AF20" s="35">
        <f>J16+J17+J18+J19</f>
        <v>0.51944444444444449</v>
      </c>
      <c r="AG20" s="35">
        <f t="shared" si="9"/>
        <v>0.15277777777777768</v>
      </c>
    </row>
    <row r="21" spans="1:39" x14ac:dyDescent="0.25">
      <c r="A21" t="s">
        <v>62</v>
      </c>
      <c r="B21" s="20">
        <f t="shared" si="4"/>
        <v>0</v>
      </c>
      <c r="C21" s="20">
        <f t="shared" si="4"/>
        <v>5.5555555555555558E-3</v>
      </c>
      <c r="D21" s="20">
        <f t="shared" si="4"/>
        <v>4.7222222222222221E-2</v>
      </c>
      <c r="E21" s="20">
        <f t="shared" si="4"/>
        <v>3.0555555555555555E-2</v>
      </c>
      <c r="F21" s="20">
        <f t="shared" si="4"/>
        <v>2.7777777777777779E-3</v>
      </c>
      <c r="G21" s="20">
        <f t="shared" si="4"/>
        <v>8.3333333333333332E-3</v>
      </c>
      <c r="H21" s="20">
        <f t="shared" si="4"/>
        <v>0</v>
      </c>
      <c r="I21" s="20">
        <f t="shared" si="4"/>
        <v>0</v>
      </c>
      <c r="J21" s="12">
        <f t="shared" si="5"/>
        <v>9.4444444444444442E-2</v>
      </c>
      <c r="K21" s="12"/>
      <c r="L21" s="7"/>
      <c r="M21" t="s">
        <v>62</v>
      </c>
      <c r="N21" s="20">
        <f>B21-'Version 3 (GI3) on-site'!B21</f>
        <v>0</v>
      </c>
      <c r="O21" s="20">
        <f>C21-'Version 3 (GI3) on-site'!C21</f>
        <v>-6.9444444444444458E-4</v>
      </c>
      <c r="P21" s="20">
        <f>D21-'Version 3 (GI3) on-site'!D21</f>
        <v>-2.1527777777777785E-2</v>
      </c>
      <c r="Q21" s="20">
        <f>E21-'Version 3 (GI3) on-site'!E21</f>
        <v>-2.2569444444444444E-2</v>
      </c>
      <c r="R21" s="20">
        <f>F21-'Version 3 (GI3) on-site'!F21</f>
        <v>-9.7222222222222224E-3</v>
      </c>
      <c r="S21" s="20">
        <f>G21-'Version 3 (GI3) on-site'!G21</f>
        <v>5.208333333333333E-3</v>
      </c>
      <c r="T21" s="20">
        <f>H21-'Version 3 (GI3) on-site'!H21</f>
        <v>-3.1250000000000002E-3</v>
      </c>
      <c r="U21" s="20">
        <f>I21-'Version 3 (GI3) on-site'!I21</f>
        <v>0</v>
      </c>
      <c r="V21" s="12">
        <f t="shared" si="6"/>
        <v>-5.2430555555555564E-2</v>
      </c>
      <c r="W21" s="7"/>
      <c r="X21" t="s">
        <v>208</v>
      </c>
      <c r="Y21" s="35">
        <f>B24+C24+D24+E24+F24</f>
        <v>0.82777777777777772</v>
      </c>
      <c r="Z21" s="35">
        <f>J23+J22+J21+J20+J19</f>
        <v>0.69444444444444442</v>
      </c>
      <c r="AA21" s="35">
        <f t="shared" si="7"/>
        <v>0.1333333333333333</v>
      </c>
      <c r="AD21" t="s">
        <v>208</v>
      </c>
      <c r="AE21" s="35">
        <f t="shared" si="8"/>
        <v>0.82777777777777772</v>
      </c>
      <c r="AF21" s="35">
        <f>J16+J17+J18+J19+J20</f>
        <v>0.81111111111111112</v>
      </c>
      <c r="AG21" s="35">
        <f t="shared" si="9"/>
        <v>1.6666666666666607E-2</v>
      </c>
      <c r="AJ21" t="s">
        <v>147</v>
      </c>
    </row>
    <row r="22" spans="1:39" x14ac:dyDescent="0.25">
      <c r="A22" t="s">
        <v>63</v>
      </c>
      <c r="B22" s="20">
        <f t="shared" si="4"/>
        <v>0</v>
      </c>
      <c r="C22" s="20">
        <f t="shared" si="4"/>
        <v>3.3333333333333333E-2</v>
      </c>
      <c r="D22" s="20">
        <f t="shared" si="4"/>
        <v>2.2222222222222223E-2</v>
      </c>
      <c r="E22" s="20">
        <f t="shared" si="4"/>
        <v>1.9444444444444445E-2</v>
      </c>
      <c r="F22" s="20">
        <f t="shared" si="4"/>
        <v>0</v>
      </c>
      <c r="G22" s="20">
        <f t="shared" si="4"/>
        <v>2.7777777777777779E-3</v>
      </c>
      <c r="H22" s="20">
        <f t="shared" si="4"/>
        <v>0</v>
      </c>
      <c r="I22" s="20">
        <f t="shared" si="4"/>
        <v>0</v>
      </c>
      <c r="J22" s="12">
        <f t="shared" si="5"/>
        <v>7.7777777777777779E-2</v>
      </c>
      <c r="K22" s="12"/>
      <c r="L22" s="7"/>
      <c r="M22" t="s">
        <v>63</v>
      </c>
      <c r="N22" s="20">
        <f>B22-'Version 3 (GI3) on-site'!B22</f>
        <v>-3.1250000000000002E-3</v>
      </c>
      <c r="O22" s="20">
        <f>C22-'Version 3 (GI3) on-site'!C22</f>
        <v>1.4583333333333334E-2</v>
      </c>
      <c r="P22" s="20">
        <f>D22-'Version 3 (GI3) on-site'!D22</f>
        <v>3.4722222222222238E-3</v>
      </c>
      <c r="Q22" s="20">
        <f>E22-'Version 3 (GI3) on-site'!E22</f>
        <v>6.9444444444444441E-3</v>
      </c>
      <c r="R22" s="20">
        <f>F22-'Version 3 (GI3) on-site'!F22</f>
        <v>-3.1250000000000002E-3</v>
      </c>
      <c r="S22" s="20">
        <f>G22-'Version 3 (GI3) on-site'!G22</f>
        <v>2.7777777777777779E-3</v>
      </c>
      <c r="T22" s="20">
        <f>H22-'Version 3 (GI3) on-site'!H22</f>
        <v>0</v>
      </c>
      <c r="U22" s="20">
        <f>I22-'Version 3 (GI3) on-site'!I22</f>
        <v>0</v>
      </c>
      <c r="V22" s="12">
        <f t="shared" si="6"/>
        <v>2.1527777777777781E-2</v>
      </c>
      <c r="W22" s="7"/>
      <c r="X22" t="s">
        <v>209</v>
      </c>
      <c r="Y22" s="35">
        <f>B24+C24+D24+E24+F24+G24</f>
        <v>0.93333333333333324</v>
      </c>
      <c r="Z22" s="35">
        <f>J23+J22+J21+J20+J19+J18</f>
        <v>0.89166666666666661</v>
      </c>
      <c r="AA22" s="35">
        <f t="shared" si="7"/>
        <v>4.166666666666663E-2</v>
      </c>
      <c r="AD22" t="s">
        <v>209</v>
      </c>
      <c r="AE22" s="35">
        <f t="shared" si="8"/>
        <v>0.93333333333333324</v>
      </c>
      <c r="AF22" s="35">
        <f>J16+J17+J18+J19+J20+J21</f>
        <v>0.90555555555555556</v>
      </c>
      <c r="AG22" s="35">
        <f t="shared" si="9"/>
        <v>2.7777777777777679E-2</v>
      </c>
      <c r="AI22" t="s">
        <v>166</v>
      </c>
      <c r="AJ22">
        <v>90</v>
      </c>
    </row>
    <row r="23" spans="1:39" x14ac:dyDescent="0.25">
      <c r="A23" t="s">
        <v>64</v>
      </c>
      <c r="B23" s="20">
        <f t="shared" si="4"/>
        <v>2.7777777777777779E-3</v>
      </c>
      <c r="C23" s="20">
        <f t="shared" si="4"/>
        <v>5.5555555555555558E-3</v>
      </c>
      <c r="D23" s="20">
        <f t="shared" si="4"/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5.5555555555555558E-3</v>
      </c>
      <c r="I23" s="20">
        <f t="shared" si="4"/>
        <v>2.7777777777777779E-3</v>
      </c>
      <c r="J23" s="12">
        <f t="shared" si="5"/>
        <v>1.6666666666666666E-2</v>
      </c>
      <c r="K23" s="12"/>
      <c r="L23" s="7"/>
      <c r="M23" t="s">
        <v>64</v>
      </c>
      <c r="N23" s="20">
        <f>B23-'Version 3 (GI3) on-site'!B23</f>
        <v>-9.7222222222222224E-3</v>
      </c>
      <c r="O23" s="20">
        <f>C23-'Version 3 (GI3) on-site'!C23</f>
        <v>5.5555555555555558E-3</v>
      </c>
      <c r="P23" s="20">
        <f>D23-'Version 3 (GI3) on-site'!D23</f>
        <v>-6.2500000000000003E-3</v>
      </c>
      <c r="Q23" s="20">
        <f>E23-'Version 3 (GI3) on-site'!E23</f>
        <v>-3.1250000000000002E-3</v>
      </c>
      <c r="R23" s="20">
        <f>F23-'Version 3 (GI3) on-site'!F23</f>
        <v>0</v>
      </c>
      <c r="S23" s="20">
        <f>G23-'Version 3 (GI3) on-site'!G23</f>
        <v>0</v>
      </c>
      <c r="T23" s="20">
        <f>H23-'Version 3 (GI3) on-site'!H23</f>
        <v>5.5555555555555558E-3</v>
      </c>
      <c r="U23" s="20">
        <f>I23-'Version 3 (GI3) on-site'!I23</f>
        <v>2.7777777777777779E-3</v>
      </c>
      <c r="V23" s="12">
        <f t="shared" si="6"/>
        <v>-5.2083333333333322E-3</v>
      </c>
      <c r="W23" s="7"/>
      <c r="X23" t="s">
        <v>210</v>
      </c>
      <c r="Y23" s="35">
        <f>B24+C24+D24+E24+F24+G24+H24</f>
        <v>0.96666666666666656</v>
      </c>
      <c r="Z23" s="35">
        <f>J23+J22+J21+J20+J19+J18+J17</f>
        <v>0.93055555555555547</v>
      </c>
      <c r="AA23" s="35">
        <f t="shared" si="7"/>
        <v>3.6111111111111094E-2</v>
      </c>
      <c r="AD23" t="s">
        <v>210</v>
      </c>
      <c r="AE23" s="35">
        <f t="shared" si="8"/>
        <v>0.96666666666666656</v>
      </c>
      <c r="AF23" s="35">
        <f>J16+J17+J18+J19+J20+J21+J22</f>
        <v>0.98333333333333339</v>
      </c>
      <c r="AG23" s="35">
        <f t="shared" si="9"/>
        <v>1.6666666666666829E-2</v>
      </c>
      <c r="AI23" t="s">
        <v>166</v>
      </c>
      <c r="AJ23">
        <v>90</v>
      </c>
    </row>
    <row r="24" spans="1:39" x14ac:dyDescent="0.25">
      <c r="A24" s="5" t="s">
        <v>91</v>
      </c>
      <c r="B24" s="13">
        <f>SUM(B16:B23)</f>
        <v>2.7777777777777779E-3</v>
      </c>
      <c r="C24" s="13">
        <f t="shared" ref="C24:I24" si="10">SUM(C16:C23)</f>
        <v>7.2222222222222215E-2</v>
      </c>
      <c r="D24" s="13">
        <f t="shared" si="10"/>
        <v>0.19722222222222222</v>
      </c>
      <c r="E24" s="13">
        <f t="shared" si="10"/>
        <v>0.39999999999999997</v>
      </c>
      <c r="F24" s="13">
        <f t="shared" si="10"/>
        <v>0.15555555555555553</v>
      </c>
      <c r="G24" s="13">
        <f t="shared" si="10"/>
        <v>0.10555555555555556</v>
      </c>
      <c r="H24" s="13">
        <f t="shared" si="10"/>
        <v>3.3333333333333333E-2</v>
      </c>
      <c r="I24" s="13">
        <f t="shared" si="10"/>
        <v>3.3333333333333333E-2</v>
      </c>
      <c r="J24" s="19">
        <f>SUM(B24:I24)</f>
        <v>0.99999999999999989</v>
      </c>
      <c r="K24" s="4"/>
      <c r="L24" s="7"/>
      <c r="M24" s="5" t="s">
        <v>91</v>
      </c>
      <c r="N24" s="13">
        <f>SUM(N16:N23)</f>
        <v>-1.9097222222222224E-2</v>
      </c>
      <c r="O24" s="13">
        <f t="shared" ref="O24:U24" si="11">SUM(O16:O23)</f>
        <v>9.7222222222222224E-3</v>
      </c>
      <c r="P24" s="13">
        <f t="shared" si="11"/>
        <v>-5.2777777777777792E-2</v>
      </c>
      <c r="Q24" s="13">
        <f t="shared" si="11"/>
        <v>-3.1249999999999932E-3</v>
      </c>
      <c r="R24" s="13">
        <f t="shared" si="11"/>
        <v>2.4305555555555565E-3</v>
      </c>
      <c r="S24" s="13">
        <f t="shared" si="11"/>
        <v>5.243055555555555E-2</v>
      </c>
      <c r="T24" s="13">
        <f t="shared" si="11"/>
        <v>2.0833333333333311E-3</v>
      </c>
      <c r="U24" s="13">
        <f t="shared" si="11"/>
        <v>8.333333333333335E-3</v>
      </c>
      <c r="V24" s="19">
        <f>SUM(N24:U24)</f>
        <v>0</v>
      </c>
      <c r="W24" s="7"/>
      <c r="X24" t="s">
        <v>211</v>
      </c>
      <c r="Y24" s="35">
        <f>B24+C24+D24+E24+F24+G24+H24+I24</f>
        <v>0.99999999999999989</v>
      </c>
      <c r="Z24" s="35">
        <f>J23+J22+J21+J20+J19+J18+J17+J16</f>
        <v>0.99999999999999989</v>
      </c>
      <c r="AA24" s="35">
        <f t="shared" si="7"/>
        <v>0</v>
      </c>
      <c r="AD24" t="s">
        <v>211</v>
      </c>
      <c r="AE24" s="35">
        <f t="shared" si="8"/>
        <v>0.99999999999999989</v>
      </c>
      <c r="AF24" s="35">
        <f>J16+J17+J18+J19+J20+J21+J22+J23</f>
        <v>1</v>
      </c>
      <c r="AG24" s="35">
        <f t="shared" si="9"/>
        <v>1.1102230246251565E-16</v>
      </c>
    </row>
    <row r="25" spans="1:39" s="7" customFormat="1" x14ac:dyDescent="0.25">
      <c r="A25" s="5" t="s">
        <v>88</v>
      </c>
      <c r="B25" s="6" t="s">
        <v>64</v>
      </c>
      <c r="C25" s="6" t="s">
        <v>63</v>
      </c>
      <c r="D25" s="6" t="s">
        <v>62</v>
      </c>
      <c r="E25" s="6" t="s">
        <v>60</v>
      </c>
      <c r="F25" s="6" t="s">
        <v>59</v>
      </c>
      <c r="G25" s="6" t="s">
        <v>57</v>
      </c>
      <c r="H25" s="6" t="s">
        <v>89</v>
      </c>
      <c r="I25" s="6" t="s">
        <v>55</v>
      </c>
      <c r="J25" s="4"/>
      <c r="K25" s="4"/>
      <c r="M25" s="5" t="s">
        <v>88</v>
      </c>
      <c r="N25" s="6" t="s">
        <v>64</v>
      </c>
      <c r="O25" s="6" t="s">
        <v>63</v>
      </c>
      <c r="P25" s="6" t="s">
        <v>62</v>
      </c>
      <c r="Q25" s="6" t="s">
        <v>60</v>
      </c>
      <c r="R25" s="6" t="s">
        <v>59</v>
      </c>
      <c r="S25" s="6" t="s">
        <v>57</v>
      </c>
      <c r="T25" s="6" t="s">
        <v>89</v>
      </c>
      <c r="U25" s="6" t="s">
        <v>55</v>
      </c>
      <c r="V25" s="4"/>
      <c r="X25" s="35"/>
      <c r="Y25" s="35"/>
      <c r="Z25" s="35"/>
      <c r="AA25" s="42">
        <f>MAX(AA17:AA24)</f>
        <v>0.1916666666666666</v>
      </c>
      <c r="AB25"/>
      <c r="AC25"/>
      <c r="AD25" s="35"/>
      <c r="AE25" s="35"/>
      <c r="AF25" s="35"/>
      <c r="AG25" s="35">
        <f t="shared" ref="AG25" si="12">MAX(AG17:AG24)</f>
        <v>0.15277777777777768</v>
      </c>
      <c r="AH25"/>
      <c r="AI25"/>
      <c r="AJ25"/>
      <c r="AK25"/>
      <c r="AL25"/>
      <c r="AM25"/>
    </row>
    <row r="26" spans="1:39" s="7" customFormat="1" x14ac:dyDescent="0.25">
      <c r="A26" s="8"/>
      <c r="M26" s="8"/>
    </row>
    <row r="27" spans="1:39" s="7" customFormat="1" x14ac:dyDescent="0.25">
      <c r="A27" s="8" t="s">
        <v>103</v>
      </c>
      <c r="G27" s="8" t="s">
        <v>104</v>
      </c>
      <c r="M27" s="8"/>
      <c r="S27" s="7" t="s">
        <v>256</v>
      </c>
    </row>
    <row r="28" spans="1:39" x14ac:dyDescent="0.25">
      <c r="A28" s="8" t="s">
        <v>67</v>
      </c>
      <c r="B28" s="7" t="s">
        <v>68</v>
      </c>
      <c r="C28" s="7" t="s">
        <v>69</v>
      </c>
      <c r="D28" s="7" t="s">
        <v>70</v>
      </c>
      <c r="E28" s="7" t="s">
        <v>69</v>
      </c>
      <c r="F28" s="7"/>
      <c r="G28" s="8" t="s">
        <v>102</v>
      </c>
      <c r="H28" s="7" t="s">
        <v>68</v>
      </c>
      <c r="I28" s="7" t="s">
        <v>69</v>
      </c>
      <c r="J28" s="7" t="s">
        <v>70</v>
      </c>
      <c r="K28" s="7" t="s">
        <v>69</v>
      </c>
      <c r="M28" s="8"/>
      <c r="N28" s="7" t="s">
        <v>68</v>
      </c>
      <c r="O28" s="7" t="s">
        <v>69</v>
      </c>
      <c r="P28" s="7" t="s">
        <v>70</v>
      </c>
      <c r="Q28" s="7" t="s">
        <v>69</v>
      </c>
      <c r="R28" s="7"/>
      <c r="S28" s="7"/>
      <c r="T28" s="7" t="s">
        <v>68</v>
      </c>
      <c r="U28" s="7" t="s">
        <v>69</v>
      </c>
      <c r="V28" s="7"/>
    </row>
    <row r="29" spans="1:39" x14ac:dyDescent="0.25">
      <c r="A29" t="s">
        <v>71</v>
      </c>
      <c r="B29">
        <f>J11</f>
        <v>360</v>
      </c>
      <c r="C29" s="9">
        <f>B29/B29</f>
        <v>1</v>
      </c>
      <c r="D29">
        <v>64</v>
      </c>
      <c r="E29" s="9">
        <f>D29/D29</f>
        <v>1</v>
      </c>
      <c r="G29" t="s">
        <v>71</v>
      </c>
      <c r="H29">
        <f>J11</f>
        <v>360</v>
      </c>
      <c r="I29" s="9">
        <f t="shared" ref="I29:I39" si="13">H29/$H$29</f>
        <v>1</v>
      </c>
      <c r="J29">
        <v>64</v>
      </c>
      <c r="K29" s="9">
        <f>J29/J29</f>
        <v>1</v>
      </c>
      <c r="M29" t="s">
        <v>197</v>
      </c>
      <c r="N29" s="36">
        <v>360</v>
      </c>
      <c r="O29" s="9">
        <v>1</v>
      </c>
      <c r="P29">
        <v>64</v>
      </c>
      <c r="Q29" s="9">
        <v>1</v>
      </c>
      <c r="S29" t="s">
        <v>197</v>
      </c>
      <c r="T29">
        <f>H29+'Version 5 (LE)'!H29</f>
        <v>652</v>
      </c>
      <c r="U29" s="47">
        <v>100</v>
      </c>
      <c r="V29" s="7"/>
    </row>
    <row r="30" spans="1:39" x14ac:dyDescent="0.25">
      <c r="A30" t="s">
        <v>66</v>
      </c>
      <c r="B30">
        <f>B3+C3+B4</f>
        <v>2</v>
      </c>
      <c r="C30" s="11">
        <f t="shared" ref="C30:C39" si="14">B30/B$29</f>
        <v>5.5555555555555558E-3</v>
      </c>
      <c r="D30">
        <v>3</v>
      </c>
      <c r="E30" s="9">
        <f t="shared" ref="E30:E39" si="15">D30/D$29</f>
        <v>4.6875E-2</v>
      </c>
      <c r="G30" t="s">
        <v>116</v>
      </c>
      <c r="H30">
        <f>B3</f>
        <v>0</v>
      </c>
      <c r="I30" s="9">
        <f t="shared" si="13"/>
        <v>0</v>
      </c>
      <c r="J30">
        <v>1</v>
      </c>
      <c r="K30" s="9">
        <f t="shared" ref="K30:K39" si="16">J30/J$29</f>
        <v>1.5625E-2</v>
      </c>
      <c r="N30" s="36"/>
      <c r="O30" s="11"/>
      <c r="Q30" s="9"/>
      <c r="U30" s="47"/>
      <c r="V30" s="7"/>
    </row>
    <row r="31" spans="1:39" x14ac:dyDescent="0.25">
      <c r="A31" t="s">
        <v>72</v>
      </c>
      <c r="B31">
        <f>B3+B4+C3+C4+C5+D4+D5+D6+E5+E6+E7+F6</f>
        <v>163</v>
      </c>
      <c r="C31" s="11">
        <f t="shared" si="14"/>
        <v>0.45277777777777778</v>
      </c>
      <c r="D31">
        <v>12</v>
      </c>
      <c r="E31" s="9">
        <f t="shared" si="15"/>
        <v>0.1875</v>
      </c>
      <c r="G31" t="s">
        <v>117</v>
      </c>
      <c r="H31">
        <f>B3+C4+D5+E6</f>
        <v>52</v>
      </c>
      <c r="I31" s="9">
        <f t="shared" si="13"/>
        <v>0.14444444444444443</v>
      </c>
      <c r="J31">
        <v>4</v>
      </c>
      <c r="K31" s="9">
        <f t="shared" si="16"/>
        <v>6.25E-2</v>
      </c>
      <c r="N31" s="36"/>
      <c r="O31" s="11"/>
      <c r="Q31" s="9"/>
      <c r="U31" s="47"/>
      <c r="V31" s="7"/>
    </row>
    <row r="32" spans="1:39" x14ac:dyDescent="0.25">
      <c r="A32" t="s">
        <v>73</v>
      </c>
      <c r="B32">
        <f>SUM(B3:B7, C3:C7, D3:D7, E3:E7, F3:F6)</f>
        <v>225</v>
      </c>
      <c r="C32" s="11">
        <f t="shared" si="14"/>
        <v>0.625</v>
      </c>
      <c r="D32">
        <v>24</v>
      </c>
      <c r="E32" s="9">
        <f t="shared" si="15"/>
        <v>0.375</v>
      </c>
      <c r="G32" t="s">
        <v>118</v>
      </c>
      <c r="H32">
        <f>SUM(B3:B6) + SUM(C3:C6) + SUM(D3:D6) + SUM(E3:E6)</f>
        <v>98</v>
      </c>
      <c r="I32" s="9">
        <f t="shared" si="13"/>
        <v>0.2722222222222222</v>
      </c>
      <c r="J32">
        <v>16</v>
      </c>
      <c r="K32" s="9">
        <f t="shared" si="16"/>
        <v>0.25</v>
      </c>
      <c r="M32" t="s">
        <v>251</v>
      </c>
      <c r="N32" s="36">
        <f>H32-E6</f>
        <v>59</v>
      </c>
      <c r="O32" s="11">
        <f>N32/N29</f>
        <v>0.16388888888888889</v>
      </c>
      <c r="P32">
        <v>15</v>
      </c>
      <c r="Q32" s="9">
        <f>P32/$P$29</f>
        <v>0.234375</v>
      </c>
      <c r="S32" t="s">
        <v>118</v>
      </c>
      <c r="T32">
        <f>H32+'Version 5 (LE)'!H32</f>
        <v>189</v>
      </c>
      <c r="U32" s="47">
        <f>T32/T$29</f>
        <v>0.28987730061349692</v>
      </c>
      <c r="V32" s="7"/>
    </row>
    <row r="33" spans="1:22" x14ac:dyDescent="0.25">
      <c r="A33" t="s">
        <v>74</v>
      </c>
      <c r="B33">
        <f>SUM(B3:B10, C3:C9, D3:D8, E3:E7, F3:F6, G3:G5, H3:H4, I3)</f>
        <v>290</v>
      </c>
      <c r="C33" s="11">
        <f t="shared" si="14"/>
        <v>0.80555555555555558</v>
      </c>
      <c r="D33">
        <v>36</v>
      </c>
      <c r="E33" s="9">
        <f t="shared" si="15"/>
        <v>0.5625</v>
      </c>
      <c r="G33" t="s">
        <v>119</v>
      </c>
      <c r="H33">
        <f>SUM(B3:B9)+SUM(C3:C8)+SUM(D3:D7)+SUM(E3:E6)+SUM(F3:F5)+SUM(G3:G4)+H3</f>
        <v>157</v>
      </c>
      <c r="I33" s="9">
        <f t="shared" si="13"/>
        <v>0.43611111111111112</v>
      </c>
      <c r="J33">
        <v>28</v>
      </c>
      <c r="K33" s="9">
        <f t="shared" si="16"/>
        <v>0.4375</v>
      </c>
      <c r="M33" t="s">
        <v>252</v>
      </c>
      <c r="N33" s="36">
        <f>H33-E6</f>
        <v>118</v>
      </c>
      <c r="O33" s="11">
        <f>N33/N29</f>
        <v>0.32777777777777778</v>
      </c>
      <c r="P33">
        <v>27</v>
      </c>
      <c r="Q33" s="9">
        <f>P33/$P$29</f>
        <v>0.421875</v>
      </c>
      <c r="S33" t="s">
        <v>119</v>
      </c>
      <c r="T33">
        <f>H33+'Version 5 (LE)'!H33</f>
        <v>299</v>
      </c>
      <c r="U33" s="47">
        <f t="shared" ref="U33:U38" si="17">T33/T$29</f>
        <v>0.45858895705521474</v>
      </c>
      <c r="V33" s="7"/>
    </row>
    <row r="34" spans="1:22" x14ac:dyDescent="0.25">
      <c r="A34" t="s">
        <v>75</v>
      </c>
      <c r="B34">
        <f>SUM(B9:B10, C8:C10, D7:D9, E6:E8, F5:F7, G4:G6, H3:H5, I3:I4)</f>
        <v>266</v>
      </c>
      <c r="C34" s="11">
        <f t="shared" si="14"/>
        <v>0.73888888888888893</v>
      </c>
      <c r="D34">
        <v>22</v>
      </c>
      <c r="E34" s="9">
        <f t="shared" si="15"/>
        <v>0.34375</v>
      </c>
      <c r="G34" t="s">
        <v>120</v>
      </c>
      <c r="H34">
        <f>B10+C9+D8+E7+F6+G5+H4+I3+E6+F7</f>
        <v>184</v>
      </c>
      <c r="I34" s="22">
        <f t="shared" si="13"/>
        <v>0.51111111111111107</v>
      </c>
      <c r="J34">
        <v>10</v>
      </c>
      <c r="K34" s="9">
        <f t="shared" si="16"/>
        <v>0.15625</v>
      </c>
      <c r="N34" s="36"/>
      <c r="O34" s="11"/>
      <c r="Q34" s="9"/>
      <c r="S34" t="s">
        <v>120</v>
      </c>
      <c r="T34">
        <f>H34+'Version 5 (LE)'!H34</f>
        <v>288</v>
      </c>
      <c r="U34" s="47">
        <f t="shared" si="17"/>
        <v>0.44171779141104295</v>
      </c>
      <c r="V34" s="7"/>
    </row>
    <row r="35" spans="1:22" x14ac:dyDescent="0.25">
      <c r="A35" t="s">
        <v>76</v>
      </c>
      <c r="B35">
        <f>SUM(E6:E7, F6:F7)</f>
        <v>129</v>
      </c>
      <c r="C35" s="11">
        <f t="shared" si="14"/>
        <v>0.35833333333333334</v>
      </c>
      <c r="D35">
        <v>4</v>
      </c>
      <c r="E35" s="9">
        <f t="shared" si="15"/>
        <v>6.25E-2</v>
      </c>
      <c r="G35" t="s">
        <v>121</v>
      </c>
      <c r="H35">
        <f>E7+F6</f>
        <v>78</v>
      </c>
      <c r="I35" s="22">
        <f t="shared" si="13"/>
        <v>0.21666666666666667</v>
      </c>
      <c r="J35">
        <v>2</v>
      </c>
      <c r="K35" s="9">
        <f t="shared" si="16"/>
        <v>3.125E-2</v>
      </c>
      <c r="N35" s="36"/>
      <c r="O35" s="11"/>
      <c r="Q35" s="9"/>
      <c r="S35" t="s">
        <v>76</v>
      </c>
      <c r="T35">
        <f>B35+'Version 5 (LE)'!B35</f>
        <v>198</v>
      </c>
      <c r="U35" s="47">
        <f t="shared" si="17"/>
        <v>0.30368098159509205</v>
      </c>
      <c r="V35" s="7"/>
    </row>
    <row r="36" spans="1:22" x14ac:dyDescent="0.25">
      <c r="A36" t="s">
        <v>200</v>
      </c>
      <c r="B36">
        <f>I10</f>
        <v>1</v>
      </c>
      <c r="C36" s="11">
        <f t="shared" si="14"/>
        <v>2.7777777777777779E-3</v>
      </c>
      <c r="D36">
        <v>3</v>
      </c>
      <c r="E36" s="9">
        <f t="shared" si="15"/>
        <v>4.6875E-2</v>
      </c>
      <c r="G36" t="s">
        <v>198</v>
      </c>
      <c r="H36">
        <f>I10</f>
        <v>1</v>
      </c>
      <c r="I36" s="14">
        <f t="shared" si="13"/>
        <v>2.7777777777777779E-3</v>
      </c>
      <c r="J36">
        <v>1</v>
      </c>
      <c r="K36" s="9">
        <f t="shared" si="16"/>
        <v>1.5625E-2</v>
      </c>
      <c r="N36" s="36"/>
      <c r="O36" s="11"/>
      <c r="Q36" s="9"/>
      <c r="U36" s="47"/>
      <c r="V36" s="7"/>
    </row>
    <row r="37" spans="1:22" x14ac:dyDescent="0.25">
      <c r="A37" t="s">
        <v>134</v>
      </c>
      <c r="B37">
        <f>SUM(I9:I10,H8:H10, G7:G9, F6:F8,E7)</f>
        <v>101</v>
      </c>
      <c r="C37" s="11">
        <f t="shared" si="14"/>
        <v>0.28055555555555556</v>
      </c>
      <c r="D37">
        <v>12</v>
      </c>
      <c r="E37" s="9">
        <f t="shared" si="15"/>
        <v>0.1875</v>
      </c>
      <c r="G37" t="s">
        <v>1</v>
      </c>
      <c r="H37">
        <f>I10+H9+G8+F7</f>
        <v>16</v>
      </c>
      <c r="I37" s="14">
        <f t="shared" si="13"/>
        <v>4.4444444444444446E-2</v>
      </c>
      <c r="J37">
        <v>4</v>
      </c>
      <c r="K37" s="9">
        <f t="shared" si="16"/>
        <v>6.25E-2</v>
      </c>
      <c r="N37" s="36"/>
      <c r="O37" s="11"/>
      <c r="Q37" s="9"/>
      <c r="U37" s="47"/>
      <c r="V37" s="7"/>
    </row>
    <row r="38" spans="1:22" x14ac:dyDescent="0.25">
      <c r="A38" t="s">
        <v>135</v>
      </c>
      <c r="B38">
        <f>SUM(E10:I10, E9:I9, E8:I8, E7:I7, F6:I6)</f>
        <v>137</v>
      </c>
      <c r="C38" s="11">
        <f t="shared" si="14"/>
        <v>0.38055555555555554</v>
      </c>
      <c r="D38">
        <v>24</v>
      </c>
      <c r="E38" s="9">
        <f t="shared" si="15"/>
        <v>0.375</v>
      </c>
      <c r="G38" t="s">
        <v>137</v>
      </c>
      <c r="H38">
        <f>SUM(F10:I10, F9:I9, F8:I8, F7:I7)</f>
        <v>29</v>
      </c>
      <c r="I38" s="14">
        <f t="shared" si="13"/>
        <v>8.0555555555555561E-2</v>
      </c>
      <c r="J38">
        <v>16</v>
      </c>
      <c r="K38" s="9">
        <f t="shared" si="16"/>
        <v>0.25</v>
      </c>
      <c r="M38" t="s">
        <v>253</v>
      </c>
      <c r="N38" s="36">
        <f>H38-F7</f>
        <v>17</v>
      </c>
      <c r="O38" s="11">
        <f>N38/N29</f>
        <v>4.7222222222222221E-2</v>
      </c>
      <c r="P38">
        <v>15</v>
      </c>
      <c r="Q38" s="9">
        <f t="shared" ref="Q38:Q39" si="18">P38/$P$29</f>
        <v>0.234375</v>
      </c>
      <c r="S38" t="s">
        <v>137</v>
      </c>
      <c r="T38">
        <f>H38+'Version 5 (LE)'!H38</f>
        <v>76</v>
      </c>
      <c r="U38" s="47">
        <f t="shared" si="17"/>
        <v>0.1165644171779141</v>
      </c>
      <c r="V38" s="7"/>
    </row>
    <row r="39" spans="1:22" x14ac:dyDescent="0.25">
      <c r="A39" t="s">
        <v>136</v>
      </c>
      <c r="B39">
        <f>SUM(B10:I10, C9:I9, D8:I8, E7:I7, F6:I6, G5:I5, H4:I4, I3)</f>
        <v>203</v>
      </c>
      <c r="C39" s="11">
        <f t="shared" si="14"/>
        <v>0.56388888888888888</v>
      </c>
      <c r="D39">
        <v>36</v>
      </c>
      <c r="E39" s="9">
        <f t="shared" si="15"/>
        <v>0.5625</v>
      </c>
      <c r="G39" t="s">
        <v>138</v>
      </c>
      <c r="H39">
        <f>SUM(C10:I10, D9:I9, E8:I8, F7:I7,G6:I6, H5:I5, I4)</f>
        <v>70</v>
      </c>
      <c r="I39" s="14">
        <f t="shared" si="13"/>
        <v>0.19444444444444445</v>
      </c>
      <c r="J39">
        <v>28</v>
      </c>
      <c r="K39" s="9">
        <f t="shared" si="16"/>
        <v>0.4375</v>
      </c>
      <c r="M39" t="s">
        <v>254</v>
      </c>
      <c r="N39" s="36">
        <f>H39-F7</f>
        <v>58</v>
      </c>
      <c r="O39" s="11">
        <f>N39/N29</f>
        <v>0.16111111111111112</v>
      </c>
      <c r="P39">
        <v>27</v>
      </c>
      <c r="Q39" s="9">
        <f t="shared" si="18"/>
        <v>0.421875</v>
      </c>
      <c r="S39" t="s">
        <v>138</v>
      </c>
      <c r="T39">
        <f>H39+'Version 5 (LE)'!H39</f>
        <v>144</v>
      </c>
      <c r="U39" s="47">
        <f>T39/T$29</f>
        <v>0.22085889570552147</v>
      </c>
      <c r="V39" s="7"/>
    </row>
    <row r="40" spans="1:22" x14ac:dyDescent="0.25">
      <c r="C40" s="11"/>
      <c r="E40" s="9"/>
      <c r="I40" s="9"/>
      <c r="K40" s="9"/>
      <c r="O40" s="11"/>
      <c r="Q40" s="9"/>
      <c r="V40" s="7"/>
    </row>
    <row r="41" spans="1:22" x14ac:dyDescent="0.25">
      <c r="A41" t="s">
        <v>124</v>
      </c>
      <c r="B41">
        <f>B29-B35</f>
        <v>231</v>
      </c>
      <c r="C41" s="11">
        <v>1</v>
      </c>
      <c r="D41">
        <v>60</v>
      </c>
      <c r="E41" s="9">
        <v>1</v>
      </c>
      <c r="G41" t="s">
        <v>125</v>
      </c>
      <c r="H41">
        <f>H29-H35</f>
        <v>282</v>
      </c>
      <c r="I41" s="9">
        <v>1</v>
      </c>
      <c r="J41">
        <v>62</v>
      </c>
      <c r="K41" s="9">
        <v>1</v>
      </c>
      <c r="O41" s="11"/>
      <c r="Q41" s="9"/>
      <c r="V41" s="7"/>
    </row>
    <row r="42" spans="1:22" x14ac:dyDescent="0.25">
      <c r="A42" t="s">
        <v>80</v>
      </c>
      <c r="B42">
        <f>B34-B35</f>
        <v>137</v>
      </c>
      <c r="C42" s="11">
        <f>B42/B$41</f>
        <v>0.59307359307359309</v>
      </c>
      <c r="D42">
        <v>18</v>
      </c>
      <c r="E42" s="9">
        <f>D42/D$41</f>
        <v>0.3</v>
      </c>
      <c r="G42" t="s">
        <v>122</v>
      </c>
      <c r="H42">
        <f>H34-E7-F6</f>
        <v>106</v>
      </c>
      <c r="I42" s="9">
        <f>H42/$H$41</f>
        <v>0.37588652482269502</v>
      </c>
      <c r="J42">
        <v>6</v>
      </c>
      <c r="K42" s="9">
        <f>J42/J$41</f>
        <v>9.6774193548387094E-2</v>
      </c>
      <c r="O42" s="11"/>
      <c r="Q42" s="9"/>
      <c r="V42" s="7"/>
    </row>
    <row r="43" spans="1:22" x14ac:dyDescent="0.25">
      <c r="C43" s="10"/>
      <c r="E43" s="9"/>
      <c r="O43" s="11"/>
      <c r="Q43" s="9"/>
      <c r="V43" s="7"/>
    </row>
    <row r="44" spans="1:22" x14ac:dyDescent="0.25">
      <c r="A44" t="s">
        <v>81</v>
      </c>
      <c r="B44">
        <f>B29-B34</f>
        <v>94</v>
      </c>
      <c r="C44" s="10">
        <f t="shared" ref="C44:C52" si="19">B44/B$44</f>
        <v>1</v>
      </c>
      <c r="D44">
        <v>42</v>
      </c>
      <c r="E44" s="9">
        <f t="shared" ref="E44:E52" si="20">D44/D$44</f>
        <v>1</v>
      </c>
      <c r="G44" t="s">
        <v>129</v>
      </c>
      <c r="H44">
        <f>H29-H34</f>
        <v>176</v>
      </c>
      <c r="I44" s="32">
        <f>H44/H$44</f>
        <v>1</v>
      </c>
      <c r="J44">
        <f>J29-J34</f>
        <v>54</v>
      </c>
      <c r="K44" s="9">
        <f t="shared" ref="K44:K52" si="21">J44/J$44</f>
        <v>1</v>
      </c>
      <c r="O44" s="10"/>
      <c r="Q44" s="9"/>
      <c r="V44" s="7"/>
    </row>
    <row r="45" spans="1:22" x14ac:dyDescent="0.25">
      <c r="A45" t="s">
        <v>82</v>
      </c>
      <c r="B45">
        <f>B30</f>
        <v>2</v>
      </c>
      <c r="C45" s="11">
        <f t="shared" si="19"/>
        <v>2.1276595744680851E-2</v>
      </c>
      <c r="D45">
        <v>3</v>
      </c>
      <c r="E45" s="9">
        <f t="shared" si="20"/>
        <v>7.1428571428571425E-2</v>
      </c>
      <c r="G45" t="s">
        <v>130</v>
      </c>
      <c r="H45">
        <f>H30</f>
        <v>0</v>
      </c>
      <c r="I45" s="32">
        <f>H45/H$44</f>
        <v>0</v>
      </c>
      <c r="J45">
        <v>1</v>
      </c>
      <c r="K45" s="9">
        <f t="shared" si="21"/>
        <v>1.8518518518518517E-2</v>
      </c>
      <c r="O45" s="10"/>
      <c r="Q45" s="9"/>
      <c r="V45" s="7"/>
    </row>
    <row r="46" spans="1:22" x14ac:dyDescent="0.25">
      <c r="A46" t="s">
        <v>77</v>
      </c>
      <c r="B46">
        <f>B31-(SUM(E6:E7,F6))</f>
        <v>46</v>
      </c>
      <c r="C46" s="11">
        <f t="shared" si="19"/>
        <v>0.48936170212765956</v>
      </c>
      <c r="D46">
        <v>9</v>
      </c>
      <c r="E46" s="9">
        <f t="shared" si="20"/>
        <v>0.21428571428571427</v>
      </c>
      <c r="G46" t="s">
        <v>131</v>
      </c>
      <c r="H46">
        <f>H31</f>
        <v>52</v>
      </c>
      <c r="I46" s="32">
        <f>H46/H$44</f>
        <v>0.29545454545454547</v>
      </c>
      <c r="J46">
        <v>4</v>
      </c>
      <c r="K46" s="9">
        <f t="shared" si="21"/>
        <v>7.407407407407407E-2</v>
      </c>
      <c r="O46" s="11"/>
      <c r="Q46" s="9"/>
      <c r="V46" s="7"/>
    </row>
    <row r="47" spans="1:22" x14ac:dyDescent="0.25">
      <c r="A47" t="s">
        <v>78</v>
      </c>
      <c r="B47">
        <f>$B$32-SUM($D$7, $E$6:E$7, $F$5:$F$6)</f>
        <v>65</v>
      </c>
      <c r="C47" s="11">
        <f t="shared" si="19"/>
        <v>0.69148936170212771</v>
      </c>
      <c r="D47">
        <v>19</v>
      </c>
      <c r="E47" s="9">
        <f t="shared" si="20"/>
        <v>0.45238095238095238</v>
      </c>
      <c r="G47" t="s">
        <v>132</v>
      </c>
      <c r="H47">
        <f>H32</f>
        <v>98</v>
      </c>
      <c r="I47" s="32">
        <f t="shared" ref="I47:I52" si="22">H47/H$44</f>
        <v>0.55681818181818177</v>
      </c>
      <c r="J47">
        <v>16</v>
      </c>
      <c r="K47" s="9">
        <f t="shared" si="21"/>
        <v>0.29629629629629628</v>
      </c>
      <c r="O47" s="11"/>
      <c r="Q47" s="9"/>
      <c r="V47" s="7"/>
    </row>
    <row r="48" spans="1:22" x14ac:dyDescent="0.25">
      <c r="A48" t="s">
        <v>79</v>
      </c>
      <c r="B48">
        <f>B$33-SUM(B$9:B$10, C$8:C$9, D$7:D$8, E$6:E$7, F$5:F$6, G$4:G$5, H$3:H$4, I$3)</f>
        <v>68</v>
      </c>
      <c r="C48" s="11">
        <f t="shared" si="19"/>
        <v>0.72340425531914898</v>
      </c>
      <c r="D48">
        <v>21</v>
      </c>
      <c r="E48" s="9">
        <f t="shared" si="20"/>
        <v>0.5</v>
      </c>
      <c r="G48" t="s">
        <v>133</v>
      </c>
      <c r="H48">
        <f>H33</f>
        <v>157</v>
      </c>
      <c r="I48" s="32">
        <f t="shared" si="22"/>
        <v>0.89204545454545459</v>
      </c>
      <c r="J48">
        <v>28</v>
      </c>
      <c r="K48" s="9">
        <f t="shared" si="21"/>
        <v>0.51851851851851849</v>
      </c>
      <c r="O48" s="11"/>
      <c r="Q48" s="9"/>
      <c r="V48" s="7"/>
    </row>
    <row r="49" spans="1:22" x14ac:dyDescent="0.25">
      <c r="A49" t="s">
        <v>201</v>
      </c>
      <c r="B49">
        <f>B36</f>
        <v>1</v>
      </c>
      <c r="C49" s="11">
        <f t="shared" si="19"/>
        <v>1.0638297872340425E-2</v>
      </c>
      <c r="D49">
        <v>3</v>
      </c>
      <c r="E49" s="9">
        <f t="shared" si="20"/>
        <v>7.1428571428571425E-2</v>
      </c>
      <c r="G49" t="s">
        <v>199</v>
      </c>
      <c r="H49">
        <v>0</v>
      </c>
      <c r="I49" s="32">
        <f t="shared" si="22"/>
        <v>0</v>
      </c>
      <c r="J49">
        <v>1</v>
      </c>
      <c r="K49" s="9">
        <f t="shared" si="21"/>
        <v>1.8518518518518517E-2</v>
      </c>
      <c r="O49" s="11"/>
      <c r="Q49" s="9"/>
      <c r="V49" s="7"/>
    </row>
    <row r="50" spans="1:22" x14ac:dyDescent="0.25">
      <c r="A50" t="s">
        <v>139</v>
      </c>
      <c r="B50">
        <f>B37-SUM(F6:F7,E7)</f>
        <v>11</v>
      </c>
      <c r="C50" s="11">
        <f t="shared" si="19"/>
        <v>0.11702127659574468</v>
      </c>
      <c r="D50">
        <v>9</v>
      </c>
      <c r="E50" s="9">
        <f t="shared" si="20"/>
        <v>0.21428571428571427</v>
      </c>
      <c r="G50" t="s">
        <v>0</v>
      </c>
      <c r="H50">
        <f>I10+H9+G8+F7</f>
        <v>16</v>
      </c>
      <c r="I50" s="32">
        <f t="shared" si="22"/>
        <v>9.0909090909090912E-2</v>
      </c>
      <c r="J50">
        <v>4</v>
      </c>
      <c r="K50" s="9">
        <f t="shared" si="21"/>
        <v>7.407407407407407E-2</v>
      </c>
    </row>
    <row r="51" spans="1:22" x14ac:dyDescent="0.25">
      <c r="A51" t="s">
        <v>140</v>
      </c>
      <c r="B51">
        <f>SUM(E10:I10, E9:I9, F8:I8, G7:I7, H6:I6)</f>
        <v>26</v>
      </c>
      <c r="C51" s="11">
        <f t="shared" si="19"/>
        <v>0.27659574468085107</v>
      </c>
      <c r="D51">
        <v>19</v>
      </c>
      <c r="E51" s="9">
        <f t="shared" si="20"/>
        <v>0.45238095238095238</v>
      </c>
      <c r="G51" t="s">
        <v>143</v>
      </c>
      <c r="H51">
        <f>SUM(F7:I10)</f>
        <v>29</v>
      </c>
      <c r="I51" s="32">
        <f t="shared" si="22"/>
        <v>0.16477272727272727</v>
      </c>
      <c r="J51">
        <v>16</v>
      </c>
      <c r="K51" s="9">
        <f t="shared" si="21"/>
        <v>0.29629629629629628</v>
      </c>
    </row>
    <row r="52" spans="1:22" x14ac:dyDescent="0.25">
      <c r="A52" t="s">
        <v>141</v>
      </c>
      <c r="B52">
        <f>SUM(D10:I10, E9:I9, F8:I8, G7:I7, H6:I6, I5)</f>
        <v>26</v>
      </c>
      <c r="C52" s="11">
        <f t="shared" si="19"/>
        <v>0.27659574468085107</v>
      </c>
      <c r="D52">
        <v>21</v>
      </c>
      <c r="E52" s="9">
        <f t="shared" si="20"/>
        <v>0.5</v>
      </c>
      <c r="G52" t="s">
        <v>144</v>
      </c>
      <c r="H52">
        <f>H39</f>
        <v>70</v>
      </c>
      <c r="I52" s="32">
        <f t="shared" si="22"/>
        <v>0.39772727272727271</v>
      </c>
      <c r="J52">
        <v>28</v>
      </c>
      <c r="K52" s="9">
        <f t="shared" si="21"/>
        <v>0.51851851851851849</v>
      </c>
    </row>
    <row r="54" spans="1:22" x14ac:dyDescent="0.25">
      <c r="A54" t="s">
        <v>196</v>
      </c>
      <c r="B54">
        <f>B29</f>
        <v>360</v>
      </c>
      <c r="C54" s="11">
        <v>1</v>
      </c>
      <c r="D54">
        <v>64</v>
      </c>
      <c r="E54">
        <v>100</v>
      </c>
      <c r="G54" t="s">
        <v>197</v>
      </c>
      <c r="H54">
        <v>360</v>
      </c>
      <c r="I54" s="11">
        <v>1</v>
      </c>
      <c r="J54">
        <v>64</v>
      </c>
      <c r="K54" s="11">
        <v>1</v>
      </c>
    </row>
    <row r="55" spans="1:22" x14ac:dyDescent="0.25">
      <c r="A55" t="s">
        <v>142</v>
      </c>
      <c r="B55">
        <f>B46</f>
        <v>46</v>
      </c>
      <c r="C55" s="11">
        <f>B55/B$54</f>
        <v>0.12777777777777777</v>
      </c>
      <c r="D55">
        <f>D46</f>
        <v>9</v>
      </c>
      <c r="E55" s="9">
        <f>D55/D$54</f>
        <v>0.140625</v>
      </c>
      <c r="G55" t="s">
        <v>131</v>
      </c>
      <c r="H55">
        <f>H46</f>
        <v>52</v>
      </c>
      <c r="I55" s="32">
        <f>H55/H$54</f>
        <v>0.14444444444444443</v>
      </c>
      <c r="J55">
        <f>J46</f>
        <v>4</v>
      </c>
      <c r="K55" s="9">
        <f>J55/J$54</f>
        <v>6.25E-2</v>
      </c>
    </row>
    <row r="56" spans="1:22" x14ac:dyDescent="0.25">
      <c r="A56" t="s">
        <v>78</v>
      </c>
      <c r="B56">
        <f t="shared" ref="B56:B61" si="23">B47</f>
        <v>65</v>
      </c>
      <c r="C56" s="11">
        <f t="shared" ref="C56:C61" si="24">B56/B$54</f>
        <v>0.18055555555555555</v>
      </c>
      <c r="D56">
        <f t="shared" ref="D56:D61" si="25">D47</f>
        <v>19</v>
      </c>
      <c r="E56" s="9">
        <f t="shared" ref="E56:E61" si="26">D56/D$54</f>
        <v>0.296875</v>
      </c>
      <c r="G56" t="s">
        <v>132</v>
      </c>
      <c r="H56">
        <f t="shared" ref="H56:H61" si="27">H47</f>
        <v>98</v>
      </c>
      <c r="I56" s="32">
        <f t="shared" ref="I56:I61" si="28">H56/H$54</f>
        <v>0.2722222222222222</v>
      </c>
      <c r="J56">
        <f t="shared" ref="J56:J61" si="29">J47</f>
        <v>16</v>
      </c>
      <c r="K56" s="9">
        <f t="shared" ref="K56:K61" si="30">J56/J$54</f>
        <v>0.25</v>
      </c>
    </row>
    <row r="57" spans="1:22" x14ac:dyDescent="0.25">
      <c r="A57" t="s">
        <v>79</v>
      </c>
      <c r="B57">
        <f t="shared" si="23"/>
        <v>68</v>
      </c>
      <c r="C57" s="11">
        <f t="shared" si="24"/>
        <v>0.18888888888888888</v>
      </c>
      <c r="D57">
        <f t="shared" si="25"/>
        <v>21</v>
      </c>
      <c r="E57" s="9">
        <f t="shared" si="26"/>
        <v>0.328125</v>
      </c>
      <c r="G57" t="s">
        <v>133</v>
      </c>
      <c r="H57">
        <f t="shared" si="27"/>
        <v>157</v>
      </c>
      <c r="I57" s="32">
        <f t="shared" si="28"/>
        <v>0.43611111111111112</v>
      </c>
      <c r="J57">
        <f t="shared" si="29"/>
        <v>28</v>
      </c>
      <c r="K57" s="9">
        <f t="shared" si="30"/>
        <v>0.4375</v>
      </c>
    </row>
    <row r="58" spans="1:22" x14ac:dyDescent="0.25">
      <c r="A58" t="s">
        <v>201</v>
      </c>
      <c r="B58">
        <f t="shared" si="23"/>
        <v>1</v>
      </c>
      <c r="C58" s="11">
        <f t="shared" si="24"/>
        <v>2.7777777777777779E-3</v>
      </c>
      <c r="D58">
        <f t="shared" si="25"/>
        <v>3</v>
      </c>
      <c r="E58" s="9">
        <f t="shared" si="26"/>
        <v>4.6875E-2</v>
      </c>
      <c r="G58" t="s">
        <v>199</v>
      </c>
      <c r="H58">
        <f t="shared" si="27"/>
        <v>0</v>
      </c>
      <c r="I58" s="32">
        <f t="shared" si="28"/>
        <v>0</v>
      </c>
      <c r="J58">
        <f t="shared" si="29"/>
        <v>1</v>
      </c>
      <c r="K58" s="9">
        <f t="shared" si="30"/>
        <v>1.5625E-2</v>
      </c>
    </row>
    <row r="59" spans="1:22" x14ac:dyDescent="0.25">
      <c r="A59" t="s">
        <v>139</v>
      </c>
      <c r="B59">
        <f t="shared" si="23"/>
        <v>11</v>
      </c>
      <c r="C59" s="11">
        <f t="shared" si="24"/>
        <v>3.0555555555555555E-2</v>
      </c>
      <c r="D59">
        <f t="shared" si="25"/>
        <v>9</v>
      </c>
      <c r="E59" s="9">
        <f t="shared" si="26"/>
        <v>0.140625</v>
      </c>
      <c r="G59" t="s">
        <v>0</v>
      </c>
      <c r="H59">
        <f t="shared" si="27"/>
        <v>16</v>
      </c>
      <c r="I59" s="32">
        <f t="shared" si="28"/>
        <v>4.4444444444444446E-2</v>
      </c>
      <c r="J59">
        <f t="shared" si="29"/>
        <v>4</v>
      </c>
      <c r="K59" s="9">
        <f t="shared" si="30"/>
        <v>6.25E-2</v>
      </c>
    </row>
    <row r="60" spans="1:22" x14ac:dyDescent="0.25">
      <c r="A60" t="s">
        <v>140</v>
      </c>
      <c r="B60">
        <f t="shared" si="23"/>
        <v>26</v>
      </c>
      <c r="C60" s="11">
        <f t="shared" si="24"/>
        <v>7.2222222222222215E-2</v>
      </c>
      <c r="D60">
        <f t="shared" si="25"/>
        <v>19</v>
      </c>
      <c r="E60" s="9">
        <f t="shared" si="26"/>
        <v>0.296875</v>
      </c>
      <c r="G60" t="s">
        <v>143</v>
      </c>
      <c r="H60">
        <f t="shared" si="27"/>
        <v>29</v>
      </c>
      <c r="I60" s="32">
        <f t="shared" si="28"/>
        <v>8.0555555555555561E-2</v>
      </c>
      <c r="J60">
        <f t="shared" si="29"/>
        <v>16</v>
      </c>
      <c r="K60" s="9">
        <f t="shared" si="30"/>
        <v>0.25</v>
      </c>
    </row>
    <row r="61" spans="1:22" x14ac:dyDescent="0.25">
      <c r="A61" t="s">
        <v>141</v>
      </c>
      <c r="B61">
        <f t="shared" si="23"/>
        <v>26</v>
      </c>
      <c r="C61" s="11">
        <f t="shared" si="24"/>
        <v>7.2222222222222215E-2</v>
      </c>
      <c r="D61">
        <f t="shared" si="25"/>
        <v>21</v>
      </c>
      <c r="E61" s="9">
        <f t="shared" si="26"/>
        <v>0.328125</v>
      </c>
      <c r="G61" t="s">
        <v>144</v>
      </c>
      <c r="H61">
        <f t="shared" si="27"/>
        <v>70</v>
      </c>
      <c r="I61" s="32">
        <f t="shared" si="28"/>
        <v>0.19444444444444445</v>
      </c>
      <c r="J61">
        <f t="shared" si="29"/>
        <v>28</v>
      </c>
      <c r="K61" s="9">
        <f t="shared" si="30"/>
        <v>0.4375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Aggregate results %</vt:lpstr>
      <vt:lpstr>Version 1 (GI1) on-site</vt:lpstr>
      <vt:lpstr>Version 1 (GI1) on-line</vt:lpstr>
      <vt:lpstr>Version 2 (GI2) on-site</vt:lpstr>
      <vt:lpstr>Version 2 (GI2) on-line</vt:lpstr>
      <vt:lpstr>Version 3 (GI3) on-site</vt:lpstr>
      <vt:lpstr>Version 3 (GI3) on-line</vt:lpstr>
      <vt:lpstr>V 2(GI2)&amp;3(GI3) on-site average</vt:lpstr>
      <vt:lpstr>Version 4 (LI)</vt:lpstr>
      <vt:lpstr>Version 5 (LE)</vt:lpstr>
      <vt:lpstr>Version 6 (GE)</vt:lpstr>
      <vt:lpstr>consistency measures</vt:lpstr>
      <vt:lpstr>consistency class M&gt;5</vt:lpstr>
      <vt:lpstr>consistency class  6&gt;M&gt;2</vt:lpstr>
      <vt:lpstr>consistency class 3&gt;M</vt:lpstr>
      <vt:lpstr>all gains</vt:lpstr>
      <vt:lpstr>all losses</vt:lpstr>
      <vt:lpstr>Version 3 (GI) students only</vt:lpstr>
      <vt:lpstr>version 4 (LI) students only</vt:lpstr>
      <vt:lpstr>Version 5 (LE) students only</vt:lpstr>
      <vt:lpstr>Version 6 (GE) students only</vt:lpstr>
      <vt:lpstr>Sheet1</vt:lpstr>
      <vt:lpstr>version_2</vt:lpstr>
      <vt:lpstr>version2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2011-07-30T15:11:32Z</dcterms:created>
  <dcterms:modified xsi:type="dcterms:W3CDTF">2016-02-13T12:09:57Z</dcterms:modified>
</cp:coreProperties>
</file>