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/>
  <bookViews>
    <workbookView xWindow="-810" yWindow="630" windowWidth="19485" windowHeight="11760" tabRatio="308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a">Sheet1!$B$7</definedName>
    <definedName name="b">Sheet1!$C$7</definedName>
    <definedName name="d">Sheet1!$F$7</definedName>
    <definedName name="e">Sheet1!$G$7</definedName>
    <definedName name="j">Sheet1!$D$7</definedName>
    <definedName name="k">Sheet1!$E$7</definedName>
    <definedName name="m">Sheet1!$H$7</definedName>
    <definedName name="n">Sheet1!$I$7</definedName>
    <definedName name="peight">Sheet1!$I$9</definedName>
    <definedName name="pfive">Sheet1!$F$9</definedName>
    <definedName name="pfour">Sheet1!$E$9</definedName>
    <definedName name="pone">Sheet1!$B$9</definedName>
    <definedName name="pseven">Sheet1!$H$9</definedName>
    <definedName name="psix">Sheet1!$G$9</definedName>
    <definedName name="pthree">Sheet1!$D$9</definedName>
    <definedName name="ptwo">Sheet1!$C$9</definedName>
    <definedName name="u">Sheet1!$B$4</definedName>
    <definedName name="v">Sheet1!$C$4</definedName>
  </definedNames>
  <calcPr calcId="145621"/>
</workbook>
</file>

<file path=xl/calcChain.xml><?xml version="1.0" encoding="utf-8"?>
<calcChain xmlns="http://schemas.openxmlformats.org/spreadsheetml/2006/main">
  <c r="K68" i="1" l="1"/>
  <c r="K88" i="1"/>
  <c r="K86" i="1"/>
  <c r="K85" i="1"/>
  <c r="K83" i="1"/>
  <c r="K82" i="1"/>
  <c r="K81" i="1"/>
  <c r="K79" i="1"/>
  <c r="K78" i="1"/>
  <c r="K77" i="1"/>
  <c r="K76" i="1"/>
  <c r="K74" i="1"/>
  <c r="K73" i="1"/>
  <c r="K72" i="1"/>
  <c r="K71" i="1"/>
  <c r="K70" i="1"/>
  <c r="K67" i="1"/>
  <c r="K66" i="1"/>
  <c r="K65" i="1"/>
  <c r="K64" i="1"/>
  <c r="K63" i="1"/>
  <c r="K61" i="1"/>
  <c r="K60" i="1"/>
  <c r="K59" i="1"/>
  <c r="K58" i="1"/>
  <c r="K57" i="1"/>
  <c r="K56" i="1"/>
  <c r="K55" i="1"/>
  <c r="K53" i="1"/>
  <c r="K52" i="1"/>
  <c r="K51" i="1"/>
  <c r="K50" i="1"/>
  <c r="K49" i="1"/>
  <c r="K48" i="1"/>
  <c r="K47" i="1"/>
  <c r="K46" i="1"/>
  <c r="K44" i="1"/>
  <c r="K43" i="1"/>
  <c r="K42" i="1"/>
  <c r="K41" i="1"/>
  <c r="K40" i="1"/>
  <c r="K39" i="1"/>
  <c r="K38" i="1"/>
  <c r="K36" i="1"/>
  <c r="K35" i="1"/>
  <c r="K34" i="1"/>
  <c r="K33" i="1"/>
  <c r="K32" i="1"/>
  <c r="K31" i="1"/>
  <c r="K29" i="1"/>
  <c r="K28" i="1"/>
  <c r="K27" i="1"/>
  <c r="K26" i="1"/>
  <c r="K25" i="1"/>
  <c r="K23" i="1"/>
  <c r="K22" i="1"/>
  <c r="K21" i="1"/>
  <c r="K20" i="1"/>
  <c r="K18" i="1"/>
  <c r="K17" i="1"/>
  <c r="K16" i="1"/>
  <c r="K14" i="1"/>
  <c r="K13" i="1"/>
  <c r="K12" i="1"/>
  <c r="K11" i="1"/>
  <c r="O85" i="1" l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68" i="1"/>
  <c r="K15" i="1"/>
  <c r="J112" i="1"/>
  <c r="J113" i="1"/>
  <c r="J114" i="1"/>
  <c r="J115" i="1"/>
  <c r="J116" i="1"/>
  <c r="J117" i="1"/>
  <c r="J118" i="1"/>
  <c r="J111" i="1"/>
  <c r="O58" i="1" s="1"/>
  <c r="O59" i="1" s="1"/>
  <c r="O60" i="1" s="1"/>
  <c r="O61" i="1" s="1"/>
  <c r="O62" i="1" s="1"/>
  <c r="O63" i="1" s="1"/>
  <c r="O64" i="1" s="1"/>
  <c r="O65" i="1" s="1"/>
  <c r="C119" i="1"/>
  <c r="D119" i="1"/>
  <c r="E119" i="1"/>
  <c r="F119" i="1"/>
  <c r="G119" i="1"/>
  <c r="H119" i="1"/>
  <c r="I119" i="1"/>
  <c r="B119" i="1"/>
  <c r="O48" i="1" s="1"/>
  <c r="O49" i="1" s="1"/>
  <c r="O50" i="1" s="1"/>
  <c r="O51" i="1" s="1"/>
  <c r="O52" i="1" s="1"/>
  <c r="O53" i="1" s="1"/>
  <c r="O54" i="1" s="1"/>
  <c r="O55" i="1" s="1"/>
  <c r="I120" i="1"/>
  <c r="H120" i="1"/>
  <c r="G120" i="1"/>
  <c r="F120" i="1"/>
  <c r="E120" i="1"/>
  <c r="D120" i="1"/>
  <c r="C120" i="1"/>
  <c r="B120" i="1"/>
  <c r="A120" i="1"/>
  <c r="A119" i="1"/>
  <c r="A118" i="1"/>
  <c r="A117" i="1"/>
  <c r="A116" i="1"/>
  <c r="A115" i="1"/>
  <c r="A114" i="1"/>
  <c r="A113" i="1"/>
  <c r="A112" i="1"/>
  <c r="A111" i="1"/>
  <c r="A110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P47" i="1"/>
  <c r="M47" i="1"/>
  <c r="P46" i="1"/>
  <c r="O46" i="1"/>
  <c r="N46" i="1"/>
  <c r="K89" i="1" l="1"/>
  <c r="J119" i="1"/>
  <c r="X3" i="1"/>
  <c r="Y3" i="1" s="1"/>
  <c r="C7" i="1"/>
  <c r="D7" i="1"/>
  <c r="E7" i="1"/>
  <c r="C63" i="1" s="1"/>
  <c r="G7" i="1"/>
  <c r="H7" i="1"/>
  <c r="B10" i="1"/>
  <c r="C10" i="1"/>
  <c r="D10" i="1"/>
  <c r="E10" i="1"/>
  <c r="F10" i="1"/>
  <c r="G10" i="1"/>
  <c r="H10" i="1"/>
  <c r="I10" i="1"/>
  <c r="K19" i="1"/>
  <c r="K24" i="1"/>
  <c r="K30" i="1"/>
  <c r="M33" i="1"/>
  <c r="O33" i="1" s="1"/>
  <c r="M34" i="1"/>
  <c r="M35" i="1"/>
  <c r="M36" i="1"/>
  <c r="K37" i="1"/>
  <c r="M37" i="1"/>
  <c r="M38" i="1"/>
  <c r="M39" i="1"/>
  <c r="M40" i="1"/>
  <c r="K45" i="1"/>
  <c r="K54" i="1"/>
  <c r="K62" i="1"/>
  <c r="K69" i="1"/>
  <c r="E71" i="1"/>
  <c r="K75" i="1"/>
  <c r="K80" i="1"/>
  <c r="C82" i="1"/>
  <c r="K84" i="1"/>
  <c r="K87" i="1"/>
  <c r="O69" i="1" s="1"/>
  <c r="D88" i="1"/>
  <c r="C86" i="1" l="1"/>
  <c r="E76" i="1"/>
  <c r="C64" i="1"/>
  <c r="B85" i="1"/>
  <c r="C76" i="1"/>
  <c r="B88" i="1"/>
  <c r="E86" i="1"/>
  <c r="E83" i="1"/>
  <c r="E66" i="1"/>
  <c r="E88" i="1"/>
  <c r="C88" i="1"/>
  <c r="D86" i="1"/>
  <c r="D85" i="1"/>
  <c r="E82" i="1"/>
  <c r="D81" i="1"/>
  <c r="D78" i="1"/>
  <c r="E85" i="1"/>
  <c r="C85" i="1"/>
  <c r="D83" i="1"/>
  <c r="D82" i="1"/>
  <c r="E81" i="1"/>
  <c r="B81" i="1"/>
  <c r="E79" i="1"/>
  <c r="D77" i="1"/>
  <c r="E73" i="1"/>
  <c r="B70" i="1"/>
  <c r="D65" i="1"/>
  <c r="E72" i="1"/>
  <c r="C81" i="1"/>
  <c r="E78" i="1"/>
  <c r="E77" i="1"/>
  <c r="C77" i="1"/>
  <c r="D76" i="1"/>
  <c r="C71" i="1"/>
  <c r="B82" i="1"/>
  <c r="Y4" i="1"/>
  <c r="H9" i="1"/>
  <c r="O70" i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D72" i="1"/>
  <c r="E65" i="1"/>
  <c r="B76" i="1"/>
  <c r="D74" i="1"/>
  <c r="B73" i="1"/>
  <c r="D71" i="1"/>
  <c r="C70" i="1"/>
  <c r="B28" i="1"/>
  <c r="E57" i="1"/>
  <c r="C78" i="1"/>
  <c r="D67" i="1"/>
  <c r="C66" i="1"/>
  <c r="C61" i="1"/>
  <c r="B51" i="1"/>
  <c r="B71" i="1"/>
  <c r="C68" i="1"/>
  <c r="B23" i="1"/>
  <c r="O34" i="1"/>
  <c r="O35" i="1" s="1"/>
  <c r="O36" i="1" s="1"/>
  <c r="O37" i="1" s="1"/>
  <c r="O38" i="1" s="1"/>
  <c r="O39" i="1" s="1"/>
  <c r="O40" i="1" s="1"/>
  <c r="M42" i="1"/>
  <c r="K91" i="1"/>
  <c r="M11" i="1" s="1"/>
  <c r="O11" i="1" s="1"/>
  <c r="Y5" i="1"/>
  <c r="B58" i="1"/>
  <c r="B53" i="1"/>
  <c r="B38" i="1"/>
  <c r="D9" i="1"/>
  <c r="D60" i="1"/>
  <c r="C52" i="1"/>
  <c r="C50" i="1"/>
  <c r="B44" i="1"/>
  <c r="C42" i="1"/>
  <c r="E29" i="1"/>
  <c r="B86" i="1"/>
  <c r="C83" i="1"/>
  <c r="D79" i="1"/>
  <c r="B78" i="1"/>
  <c r="C74" i="1"/>
  <c r="C72" i="1"/>
  <c r="B68" i="1"/>
  <c r="B67" i="1"/>
  <c r="B66" i="1"/>
  <c r="B61" i="1"/>
  <c r="C60" i="1"/>
  <c r="E59" i="1"/>
  <c r="B56" i="1"/>
  <c r="E53" i="1"/>
  <c r="E43" i="1"/>
  <c r="B42" i="1"/>
  <c r="B33" i="1"/>
  <c r="D29" i="1"/>
  <c r="B83" i="1"/>
  <c r="C79" i="1"/>
  <c r="B74" i="1"/>
  <c r="D73" i="1"/>
  <c r="B72" i="1"/>
  <c r="E68" i="1"/>
  <c r="C65" i="1"/>
  <c r="E61" i="1"/>
  <c r="B60" i="1"/>
  <c r="D59" i="1"/>
  <c r="D58" i="1"/>
  <c r="C57" i="1"/>
  <c r="D53" i="1"/>
  <c r="C48" i="1"/>
  <c r="B43" i="1"/>
  <c r="D36" i="1"/>
  <c r="E35" i="1"/>
  <c r="B34" i="1"/>
  <c r="B32" i="1"/>
  <c r="C28" i="1"/>
  <c r="B79" i="1"/>
  <c r="B77" i="1"/>
  <c r="E74" i="1"/>
  <c r="C73" i="1"/>
  <c r="D68" i="1"/>
  <c r="E67" i="1"/>
  <c r="D61" i="1"/>
  <c r="B59" i="1"/>
  <c r="C58" i="1"/>
  <c r="B57" i="1"/>
  <c r="C53" i="1"/>
  <c r="D52" i="1"/>
  <c r="E51" i="1"/>
  <c r="D50" i="1"/>
  <c r="C49" i="1"/>
  <c r="E44" i="1"/>
  <c r="C36" i="1"/>
  <c r="B35" i="1"/>
  <c r="C22" i="1"/>
  <c r="G9" i="1"/>
  <c r="C9" i="1"/>
  <c r="F9" i="1"/>
  <c r="B9" i="1"/>
  <c r="I9" i="1"/>
  <c r="E9" i="1"/>
  <c r="B52" i="1"/>
  <c r="D51" i="1"/>
  <c r="B50" i="1"/>
  <c r="B49" i="1"/>
  <c r="B48" i="1"/>
  <c r="B47" i="1"/>
  <c r="D44" i="1"/>
  <c r="D43" i="1"/>
  <c r="E42" i="1"/>
  <c r="C41" i="1"/>
  <c r="C40" i="1"/>
  <c r="B39" i="1"/>
  <c r="B36" i="1"/>
  <c r="D35" i="1"/>
  <c r="B31" i="1"/>
  <c r="C29" i="1"/>
  <c r="B21" i="1"/>
  <c r="B11" i="1"/>
  <c r="C67" i="1"/>
  <c r="D66" i="1"/>
  <c r="B65" i="1"/>
  <c r="B64" i="1"/>
  <c r="B63" i="1"/>
  <c r="E60" i="1"/>
  <c r="C59" i="1"/>
  <c r="E58" i="1"/>
  <c r="C56" i="1"/>
  <c r="B55" i="1"/>
  <c r="E52" i="1"/>
  <c r="C51" i="1"/>
  <c r="E50" i="1"/>
  <c r="B46" i="1"/>
  <c r="C44" i="1"/>
  <c r="C43" i="1"/>
  <c r="D42" i="1"/>
  <c r="B41" i="1"/>
  <c r="B40" i="1"/>
  <c r="E36" i="1"/>
  <c r="C35" i="1"/>
  <c r="C34" i="1"/>
  <c r="C33" i="1"/>
  <c r="B29" i="1"/>
  <c r="B27" i="1"/>
  <c r="C23" i="1"/>
  <c r="C27" i="1"/>
  <c r="B22" i="1"/>
  <c r="C18" i="1"/>
  <c r="B25" i="1"/>
  <c r="B18" i="1"/>
  <c r="B26" i="1"/>
  <c r="B17" i="1"/>
  <c r="I7" i="1"/>
  <c r="F33" i="1" s="1"/>
  <c r="F88" i="1"/>
  <c r="H44" i="1"/>
  <c r="B14" i="1"/>
  <c r="G76" i="1"/>
  <c r="H52" i="1"/>
  <c r="B20" i="1"/>
  <c r="B16" i="1"/>
  <c r="H88" i="1"/>
  <c r="I86" i="1"/>
  <c r="F82" i="1"/>
  <c r="G78" i="1"/>
  <c r="H74" i="1"/>
  <c r="G66" i="1"/>
  <c r="G88" i="1"/>
  <c r="G86" i="1"/>
  <c r="G85" i="1"/>
  <c r="H83" i="1"/>
  <c r="I79" i="1"/>
  <c r="D70" i="1"/>
  <c r="I68" i="1"/>
  <c r="F61" i="1"/>
  <c r="B13" i="1"/>
  <c r="D23" i="1"/>
  <c r="D28" i="1"/>
  <c r="C32" i="1"/>
  <c r="E34" i="1"/>
  <c r="D40" i="1"/>
  <c r="F42" i="1"/>
  <c r="G51" i="1"/>
  <c r="F53" i="1"/>
  <c r="G59" i="1"/>
  <c r="G61" i="1"/>
  <c r="D64" i="1"/>
  <c r="F65" i="1"/>
  <c r="G67" i="1"/>
  <c r="F68" i="1"/>
  <c r="E70" i="1"/>
  <c r="D18" i="1"/>
  <c r="E23" i="1"/>
  <c r="E28" i="1"/>
  <c r="D33" i="1"/>
  <c r="F36" i="1"/>
  <c r="C39" i="1"/>
  <c r="F43" i="1"/>
  <c r="F44" i="1"/>
  <c r="D49" i="1"/>
  <c r="F50" i="1"/>
  <c r="F52" i="1"/>
  <c r="G53" i="1"/>
  <c r="D56" i="1"/>
  <c r="F58" i="1"/>
  <c r="F60" i="1"/>
  <c r="H61" i="1"/>
  <c r="E64" i="1"/>
  <c r="H67" i="1"/>
  <c r="G68" i="1"/>
  <c r="C17" i="1"/>
  <c r="D22" i="1"/>
  <c r="C26" i="1"/>
  <c r="F29" i="1"/>
  <c r="G36" i="1"/>
  <c r="D41" i="1"/>
  <c r="G43" i="1"/>
  <c r="G44" i="1"/>
  <c r="E49" i="1"/>
  <c r="G52" i="1"/>
  <c r="H53" i="1"/>
  <c r="C55" i="1"/>
  <c r="D57" i="1"/>
  <c r="G60" i="1"/>
  <c r="I61" i="1"/>
  <c r="D63" i="1"/>
  <c r="F66" i="1"/>
  <c r="H68" i="1"/>
  <c r="G72" i="1"/>
  <c r="I88" i="1"/>
  <c r="F86" i="1"/>
  <c r="H85" i="1"/>
  <c r="G83" i="1"/>
  <c r="G81" i="1"/>
  <c r="H79" i="1"/>
  <c r="F78" i="1"/>
  <c r="F76" i="1"/>
  <c r="G74" i="1"/>
  <c r="H73" i="1"/>
  <c r="I53" i="1"/>
  <c r="E41" i="1"/>
  <c r="C21" i="1"/>
  <c r="F83" i="1"/>
  <c r="H82" i="1"/>
  <c r="F81" i="1"/>
  <c r="G79" i="1"/>
  <c r="G77" i="1"/>
  <c r="F74" i="1"/>
  <c r="G73" i="1"/>
  <c r="F67" i="1"/>
  <c r="F59" i="1"/>
  <c r="C47" i="1"/>
  <c r="D27" i="1"/>
  <c r="H86" i="1"/>
  <c r="F85" i="1"/>
  <c r="I83" i="1"/>
  <c r="G82" i="1"/>
  <c r="F79" i="1"/>
  <c r="H78" i="1"/>
  <c r="F77" i="1"/>
  <c r="I74" i="1"/>
  <c r="F73" i="1"/>
  <c r="F72" i="1"/>
  <c r="F71" i="1"/>
  <c r="H60" i="1"/>
  <c r="F51" i="1"/>
  <c r="D48" i="1"/>
  <c r="F35" i="1"/>
  <c r="D34" i="1"/>
  <c r="F16" i="1"/>
  <c r="C14" i="1"/>
  <c r="G39" i="1" l="1"/>
  <c r="G18" i="1"/>
  <c r="M16" i="1"/>
  <c r="M14" i="1"/>
  <c r="M13" i="1"/>
  <c r="M19" i="1"/>
  <c r="M22" i="1"/>
  <c r="M25" i="1"/>
  <c r="M17" i="1"/>
  <c r="M24" i="1"/>
  <c r="M18" i="1"/>
  <c r="M21" i="1"/>
  <c r="M12" i="1"/>
  <c r="M15" i="1"/>
  <c r="M20" i="1"/>
  <c r="M23" i="1"/>
  <c r="O12" i="1"/>
  <c r="O13" i="1" s="1"/>
  <c r="I67" i="1"/>
  <c r="H57" i="1"/>
  <c r="H71" i="1"/>
  <c r="I31" i="1"/>
  <c r="F63" i="1"/>
  <c r="F56" i="1"/>
  <c r="I21" i="1"/>
  <c r="I39" i="1"/>
  <c r="F14" i="1"/>
  <c r="I34" i="1"/>
  <c r="D11" i="1"/>
  <c r="E22" i="1"/>
  <c r="I63" i="1"/>
  <c r="I20" i="1"/>
  <c r="F49" i="1"/>
  <c r="I73" i="1"/>
  <c r="J73" i="1" s="1"/>
  <c r="E98" i="1" s="1"/>
  <c r="E48" i="1"/>
  <c r="G48" i="1"/>
  <c r="G26" i="1"/>
  <c r="I64" i="1"/>
  <c r="H33" i="1"/>
  <c r="H18" i="1"/>
  <c r="E55" i="1"/>
  <c r="C31" i="1"/>
  <c r="C16" i="1"/>
  <c r="I41" i="1"/>
  <c r="H81" i="1"/>
  <c r="I13" i="1"/>
  <c r="F70" i="1"/>
  <c r="H17" i="1"/>
  <c r="F40" i="1"/>
  <c r="H22" i="1"/>
  <c r="F55" i="1"/>
  <c r="D31" i="1"/>
  <c r="I14" i="1"/>
  <c r="D47" i="1"/>
  <c r="E26" i="1"/>
  <c r="F11" i="1"/>
  <c r="I57" i="1"/>
  <c r="D26" i="1"/>
  <c r="I76" i="1"/>
  <c r="H27" i="1"/>
  <c r="H51" i="1"/>
  <c r="I29" i="1"/>
  <c r="I72" i="1"/>
  <c r="G34" i="1"/>
  <c r="I18" i="1"/>
  <c r="I46" i="1"/>
  <c r="H25" i="1"/>
  <c r="G11" i="1"/>
  <c r="H40" i="1"/>
  <c r="F22" i="1"/>
  <c r="F32" i="1"/>
  <c r="I42" i="1"/>
  <c r="H76" i="1"/>
  <c r="I81" i="1"/>
  <c r="E20" i="1"/>
  <c r="H48" i="1"/>
  <c r="G64" i="1"/>
  <c r="H72" i="1"/>
  <c r="G28" i="1"/>
  <c r="H43" i="1"/>
  <c r="E56" i="1"/>
  <c r="I51" i="1"/>
  <c r="I35" i="1"/>
  <c r="G71" i="1"/>
  <c r="H66" i="1"/>
  <c r="I60" i="1"/>
  <c r="J60" i="1" s="1"/>
  <c r="G98" i="1" s="1"/>
  <c r="I52" i="1"/>
  <c r="J52" i="1" s="1"/>
  <c r="H98" i="1" s="1"/>
  <c r="I44" i="1"/>
  <c r="J44" i="1" s="1"/>
  <c r="I98" i="1" s="1"/>
  <c r="I36" i="1"/>
  <c r="H29" i="1"/>
  <c r="G70" i="1"/>
  <c r="I56" i="1"/>
  <c r="F47" i="1"/>
  <c r="H39" i="1"/>
  <c r="I33" i="1"/>
  <c r="E31" i="1"/>
  <c r="I25" i="1"/>
  <c r="F21" i="1"/>
  <c r="G17" i="1"/>
  <c r="H13" i="1"/>
  <c r="G63" i="1"/>
  <c r="H49" i="1"/>
  <c r="E46" i="1"/>
  <c r="I38" i="1"/>
  <c r="H32" i="1"/>
  <c r="I28" i="1"/>
  <c r="D25" i="1"/>
  <c r="E21" i="1"/>
  <c r="F17" i="1"/>
  <c r="E14" i="1"/>
  <c r="C11" i="1"/>
  <c r="F57" i="1"/>
  <c r="G49" i="1"/>
  <c r="H46" i="1"/>
  <c r="F39" i="1"/>
  <c r="G33" i="1"/>
  <c r="H28" i="1"/>
  <c r="G25" i="1"/>
  <c r="H21" i="1"/>
  <c r="I17" i="1"/>
  <c r="H14" i="1"/>
  <c r="I85" i="1"/>
  <c r="J85" i="1" s="1"/>
  <c r="G29" i="1"/>
  <c r="I11" i="1"/>
  <c r="I22" i="1"/>
  <c r="H34" i="1"/>
  <c r="H50" i="1"/>
  <c r="I78" i="1"/>
  <c r="J78" i="1" s="1"/>
  <c r="D98" i="1" s="1"/>
  <c r="G23" i="1"/>
  <c r="F31" i="1"/>
  <c r="C46" i="1"/>
  <c r="H55" i="1"/>
  <c r="J86" i="1"/>
  <c r="C97" i="1" s="1"/>
  <c r="I71" i="1"/>
  <c r="H65" i="1"/>
  <c r="I59" i="1"/>
  <c r="G50" i="1"/>
  <c r="H42" i="1"/>
  <c r="E33" i="1"/>
  <c r="E18" i="1"/>
  <c r="I66" i="1"/>
  <c r="G42" i="1"/>
  <c r="H35" i="1"/>
  <c r="I43" i="1"/>
  <c r="J43" i="1" s="1"/>
  <c r="H99" i="1" s="1"/>
  <c r="G35" i="1"/>
  <c r="F64" i="1"/>
  <c r="G55" i="1"/>
  <c r="F46" i="1"/>
  <c r="D39" i="1"/>
  <c r="I32" i="1"/>
  <c r="F28" i="1"/>
  <c r="E25" i="1"/>
  <c r="H20" i="1"/>
  <c r="I16" i="1"/>
  <c r="D13" i="1"/>
  <c r="G57" i="1"/>
  <c r="F48" i="1"/>
  <c r="G41" i="1"/>
  <c r="E38" i="1"/>
  <c r="D32" i="1"/>
  <c r="F27" i="1"/>
  <c r="I23" i="1"/>
  <c r="G20" i="1"/>
  <c r="H16" i="1"/>
  <c r="G13" i="1"/>
  <c r="I70" i="1"/>
  <c r="G56" i="1"/>
  <c r="I48" i="1"/>
  <c r="D46" i="1"/>
  <c r="H38" i="1"/>
  <c r="G32" i="1"/>
  <c r="I27" i="1"/>
  <c r="C25" i="1"/>
  <c r="D21" i="1"/>
  <c r="E17" i="1"/>
  <c r="D14" i="1"/>
  <c r="G38" i="1"/>
  <c r="E63" i="1"/>
  <c r="E13" i="1"/>
  <c r="G46" i="1"/>
  <c r="G21" i="1"/>
  <c r="E11" i="1"/>
  <c r="D17" i="1"/>
  <c r="I65" i="1"/>
  <c r="G14" i="1"/>
  <c r="F25" i="1"/>
  <c r="G40" i="1"/>
  <c r="D55" i="1"/>
  <c r="H70" i="1"/>
  <c r="F18" i="1"/>
  <c r="H26" i="1"/>
  <c r="C38" i="1"/>
  <c r="G47" i="1"/>
  <c r="H58" i="1"/>
  <c r="H77" i="1"/>
  <c r="I82" i="1"/>
  <c r="J82" i="1" s="1"/>
  <c r="C98" i="1" s="1"/>
  <c r="G58" i="1"/>
  <c r="G65" i="1"/>
  <c r="H59" i="1"/>
  <c r="E47" i="1"/>
  <c r="E40" i="1"/>
  <c r="I58" i="1"/>
  <c r="I50" i="1"/>
  <c r="E27" i="1"/>
  <c r="H63" i="1"/>
  <c r="I49" i="1"/>
  <c r="H41" i="1"/>
  <c r="F38" i="1"/>
  <c r="E32" i="1"/>
  <c r="G27" i="1"/>
  <c r="F23" i="1"/>
  <c r="D20" i="1"/>
  <c r="E16" i="1"/>
  <c r="H11" i="1"/>
  <c r="H56" i="1"/>
  <c r="I47" i="1"/>
  <c r="I40" i="1"/>
  <c r="F34" i="1"/>
  <c r="H31" i="1"/>
  <c r="F26" i="1"/>
  <c r="G22" i="1"/>
  <c r="C20" i="1"/>
  <c r="D16" i="1"/>
  <c r="C13" i="1"/>
  <c r="H64" i="1"/>
  <c r="I55" i="1"/>
  <c r="H47" i="1"/>
  <c r="F41" i="1"/>
  <c r="D38" i="1"/>
  <c r="G31" i="1"/>
  <c r="I26" i="1"/>
  <c r="H23" i="1"/>
  <c r="F20" i="1"/>
  <c r="G16" i="1"/>
  <c r="F13" i="1"/>
  <c r="E39" i="1"/>
  <c r="H36" i="1"/>
  <c r="J36" i="1" s="1"/>
  <c r="I99" i="1" s="1"/>
  <c r="I77" i="1"/>
  <c r="J61" i="1"/>
  <c r="H97" i="1" s="1"/>
  <c r="J68" i="1"/>
  <c r="G97" i="1" s="1"/>
  <c r="J53" i="1"/>
  <c r="I97" i="1" s="1"/>
  <c r="N85" i="1" s="1"/>
  <c r="J67" i="1"/>
  <c r="F98" i="1" s="1"/>
  <c r="J88" i="1"/>
  <c r="B97" i="1" s="1"/>
  <c r="J83" i="1"/>
  <c r="D97" i="1" s="1"/>
  <c r="J79" i="1"/>
  <c r="E97" i="1" s="1"/>
  <c r="J74" i="1"/>
  <c r="F97" i="1" s="1"/>
  <c r="J76" i="1" l="1"/>
  <c r="B100" i="1" s="1"/>
  <c r="O14" i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M27" i="1"/>
  <c r="J59" i="1"/>
  <c r="F99" i="1" s="1"/>
  <c r="J66" i="1"/>
  <c r="E99" i="1" s="1"/>
  <c r="J51" i="1"/>
  <c r="G99" i="1" s="1"/>
  <c r="J81" i="1"/>
  <c r="B99" i="1" s="1"/>
  <c r="J22" i="1"/>
  <c r="H102" i="1" s="1"/>
  <c r="J56" i="1"/>
  <c r="C102" i="1" s="1"/>
  <c r="J50" i="1"/>
  <c r="F100" i="1" s="1"/>
  <c r="J33" i="1"/>
  <c r="F102" i="1" s="1"/>
  <c r="J57" i="1"/>
  <c r="D101" i="1" s="1"/>
  <c r="J58" i="1"/>
  <c r="E100" i="1" s="1"/>
  <c r="J70" i="1"/>
  <c r="B101" i="1" s="1"/>
  <c r="J29" i="1"/>
  <c r="I100" i="1" s="1"/>
  <c r="J72" i="1"/>
  <c r="D99" i="1" s="1"/>
  <c r="J35" i="1"/>
  <c r="H100" i="1" s="1"/>
  <c r="J89" i="1"/>
  <c r="J17" i="1"/>
  <c r="H103" i="1" s="1"/>
  <c r="J48" i="1"/>
  <c r="D102" i="1" s="1"/>
  <c r="J32" i="1"/>
  <c r="E103" i="1" s="1"/>
  <c r="J42" i="1"/>
  <c r="G100" i="1" s="1"/>
  <c r="J71" i="1"/>
  <c r="C100" i="1" s="1"/>
  <c r="J25" i="1"/>
  <c r="E104" i="1" s="1"/>
  <c r="J49" i="1"/>
  <c r="E101" i="1" s="1"/>
  <c r="J40" i="1"/>
  <c r="E102" i="1" s="1"/>
  <c r="J63" i="1"/>
  <c r="B102" i="1" s="1"/>
  <c r="J64" i="1"/>
  <c r="C101" i="1" s="1"/>
  <c r="J26" i="1"/>
  <c r="F103" i="1" s="1"/>
  <c r="J23" i="1"/>
  <c r="I101" i="1" s="1"/>
  <c r="J41" i="1"/>
  <c r="F101" i="1" s="1"/>
  <c r="J20" i="1"/>
  <c r="F104" i="1" s="1"/>
  <c r="J47" i="1"/>
  <c r="C103" i="1" s="1"/>
  <c r="J46" i="1"/>
  <c r="B104" i="1" s="1"/>
  <c r="J14" i="1"/>
  <c r="I103" i="1" s="1"/>
  <c r="J16" i="1"/>
  <c r="G104" i="1" s="1"/>
  <c r="J11" i="1"/>
  <c r="J12" i="1" s="1"/>
  <c r="J65" i="1"/>
  <c r="D100" i="1" s="1"/>
  <c r="J21" i="1"/>
  <c r="G103" i="1" s="1"/>
  <c r="J77" i="1"/>
  <c r="C99" i="1" s="1"/>
  <c r="J39" i="1"/>
  <c r="D103" i="1" s="1"/>
  <c r="J31" i="1"/>
  <c r="J27" i="1"/>
  <c r="G102" i="1" s="1"/>
  <c r="J38" i="1"/>
  <c r="J13" i="1"/>
  <c r="J28" i="1"/>
  <c r="H101" i="1" s="1"/>
  <c r="J55" i="1"/>
  <c r="B103" i="1" s="1"/>
  <c r="J18" i="1"/>
  <c r="I102" i="1" s="1"/>
  <c r="J87" i="1"/>
  <c r="B98" i="1"/>
  <c r="J98" i="1" s="1"/>
  <c r="J34" i="1"/>
  <c r="G101" i="1" s="1"/>
  <c r="J97" i="1"/>
  <c r="N58" i="1" s="1"/>
  <c r="N68" i="1"/>
  <c r="P85" i="1"/>
  <c r="N86" i="1"/>
  <c r="J84" i="1" l="1"/>
  <c r="J99" i="1"/>
  <c r="J75" i="1"/>
  <c r="J62" i="1"/>
  <c r="J100" i="1"/>
  <c r="J15" i="1"/>
  <c r="H104" i="1"/>
  <c r="H105" i="1" s="1"/>
  <c r="I104" i="1"/>
  <c r="I105" i="1" s="1"/>
  <c r="F105" i="1"/>
  <c r="J19" i="1"/>
  <c r="J45" i="1"/>
  <c r="G105" i="1"/>
  <c r="J69" i="1"/>
  <c r="J102" i="1"/>
  <c r="C104" i="1"/>
  <c r="C105" i="1" s="1"/>
  <c r="J80" i="1"/>
  <c r="J24" i="1"/>
  <c r="L38" i="1"/>
  <c r="L34" i="1"/>
  <c r="J30" i="1"/>
  <c r="L36" i="1"/>
  <c r="L40" i="1"/>
  <c r="L39" i="1"/>
  <c r="J54" i="1"/>
  <c r="L35" i="1"/>
  <c r="L33" i="1"/>
  <c r="N33" i="1" s="1"/>
  <c r="P33" i="1" s="1"/>
  <c r="L37" i="1"/>
  <c r="J37" i="1"/>
  <c r="D104" i="1"/>
  <c r="D105" i="1" s="1"/>
  <c r="P68" i="1"/>
  <c r="N69" i="1"/>
  <c r="P69" i="1" s="1"/>
  <c r="E105" i="1"/>
  <c r="J101" i="1"/>
  <c r="J103" i="1"/>
  <c r="B105" i="1"/>
  <c r="N59" i="1"/>
  <c r="P58" i="1"/>
  <c r="P86" i="1"/>
  <c r="N87" i="1"/>
  <c r="J104" i="1" l="1"/>
  <c r="J105" i="1" s="1"/>
  <c r="J91" i="1"/>
  <c r="L12" i="1" s="1"/>
  <c r="N34" i="1"/>
  <c r="P34" i="1" s="1"/>
  <c r="L42" i="1"/>
  <c r="N70" i="1"/>
  <c r="N48" i="1"/>
  <c r="K105" i="1"/>
  <c r="N60" i="1"/>
  <c r="P59" i="1"/>
  <c r="P87" i="1"/>
  <c r="N88" i="1"/>
  <c r="L25" i="1" l="1"/>
  <c r="L18" i="1"/>
  <c r="L13" i="1"/>
  <c r="L15" i="1"/>
  <c r="L24" i="1"/>
  <c r="L16" i="1"/>
  <c r="L19" i="1"/>
  <c r="L22" i="1"/>
  <c r="L20" i="1"/>
  <c r="L21" i="1"/>
  <c r="L14" i="1"/>
  <c r="L11" i="1"/>
  <c r="N11" i="1" s="1"/>
  <c r="L23" i="1"/>
  <c r="L17" i="1"/>
  <c r="N35" i="1"/>
  <c r="N36" i="1" s="1"/>
  <c r="P36" i="1" s="1"/>
  <c r="N71" i="1"/>
  <c r="P70" i="1"/>
  <c r="P48" i="1"/>
  <c r="N49" i="1"/>
  <c r="N61" i="1"/>
  <c r="P60" i="1"/>
  <c r="P88" i="1"/>
  <c r="N89" i="1"/>
  <c r="L27" i="1" l="1"/>
  <c r="N37" i="1"/>
  <c r="N38" i="1" s="1"/>
  <c r="P35" i="1"/>
  <c r="P71" i="1"/>
  <c r="N72" i="1"/>
  <c r="P11" i="1"/>
  <c r="N12" i="1"/>
  <c r="N50" i="1"/>
  <c r="P49" i="1"/>
  <c r="P89" i="1"/>
  <c r="N90" i="1"/>
  <c r="P61" i="1"/>
  <c r="N62" i="1"/>
  <c r="P37" i="1" l="1"/>
  <c r="P72" i="1"/>
  <c r="N73" i="1"/>
  <c r="N51" i="1"/>
  <c r="P50" i="1"/>
  <c r="P12" i="1"/>
  <c r="N13" i="1"/>
  <c r="P90" i="1"/>
  <c r="N91" i="1"/>
  <c r="P62" i="1"/>
  <c r="N63" i="1"/>
  <c r="P38" i="1"/>
  <c r="N39" i="1"/>
  <c r="P73" i="1" l="1"/>
  <c r="N74" i="1"/>
  <c r="P13" i="1"/>
  <c r="N14" i="1"/>
  <c r="N52" i="1"/>
  <c r="P51" i="1"/>
  <c r="N64" i="1"/>
  <c r="P63" i="1"/>
  <c r="P91" i="1"/>
  <c r="N92" i="1"/>
  <c r="P39" i="1"/>
  <c r="N40" i="1"/>
  <c r="P40" i="1" s="1"/>
  <c r="P74" i="1" l="1"/>
  <c r="N75" i="1"/>
  <c r="N53" i="1"/>
  <c r="P52" i="1"/>
  <c r="P14" i="1"/>
  <c r="N15" i="1"/>
  <c r="P42" i="1"/>
  <c r="C2" i="1" s="1"/>
  <c r="P64" i="1"/>
  <c r="N65" i="1"/>
  <c r="P65" i="1" s="1"/>
  <c r="P92" i="1"/>
  <c r="N93" i="1"/>
  <c r="P75" i="1" l="1"/>
  <c r="N76" i="1"/>
  <c r="P15" i="1"/>
  <c r="N16" i="1"/>
  <c r="P53" i="1"/>
  <c r="N54" i="1"/>
  <c r="P66" i="1"/>
  <c r="P93" i="1"/>
  <c r="N94" i="1"/>
  <c r="P76" i="1" l="1"/>
  <c r="N77" i="1"/>
  <c r="N55" i="1"/>
  <c r="P55" i="1" s="1"/>
  <c r="P54" i="1"/>
  <c r="N17" i="1"/>
  <c r="P16" i="1"/>
  <c r="P94" i="1"/>
  <c r="N95" i="1"/>
  <c r="P56" i="1" l="1"/>
  <c r="N78" i="1"/>
  <c r="P77" i="1"/>
  <c r="N18" i="1"/>
  <c r="P17" i="1"/>
  <c r="P95" i="1"/>
  <c r="N96" i="1"/>
  <c r="N79" i="1" l="1"/>
  <c r="P78" i="1"/>
  <c r="P18" i="1"/>
  <c r="N19" i="1"/>
  <c r="P96" i="1"/>
  <c r="N97" i="1"/>
  <c r="P79" i="1" l="1"/>
  <c r="N80" i="1"/>
  <c r="P19" i="1"/>
  <c r="N20" i="1"/>
  <c r="P97" i="1"/>
  <c r="N98" i="1"/>
  <c r="N81" i="1" l="1"/>
  <c r="P80" i="1"/>
  <c r="N21" i="1"/>
  <c r="P20" i="1"/>
  <c r="P98" i="1"/>
  <c r="N99" i="1"/>
  <c r="P99" i="1" s="1"/>
  <c r="P100" i="1" l="1"/>
  <c r="P81" i="1"/>
  <c r="N82" i="1"/>
  <c r="P82" i="1" s="1"/>
  <c r="P21" i="1"/>
  <c r="N22" i="1"/>
  <c r="P83" i="1" l="1"/>
  <c r="S9" i="1" s="1"/>
  <c r="P22" i="1"/>
  <c r="N23" i="1"/>
  <c r="E1" i="1" l="1"/>
  <c r="N24" i="1"/>
  <c r="P23" i="1"/>
  <c r="N25" i="1" l="1"/>
  <c r="P25" i="1" s="1"/>
  <c r="P24" i="1"/>
  <c r="P27" i="1" l="1"/>
  <c r="C1" i="1" s="1"/>
</calcChain>
</file>

<file path=xl/sharedStrings.xml><?xml version="1.0" encoding="utf-8"?>
<sst xmlns="http://schemas.openxmlformats.org/spreadsheetml/2006/main" count="209" uniqueCount="149">
  <si>
    <t>parameters</t>
  </si>
  <si>
    <t>a</t>
  </si>
  <si>
    <t>A=j</t>
  </si>
  <si>
    <t>D=m</t>
  </si>
  <si>
    <t>diagonal %</t>
  </si>
  <si>
    <t>f11</t>
  </si>
  <si>
    <t>f22</t>
  </si>
  <si>
    <t>f33</t>
  </si>
  <si>
    <t>f44</t>
  </si>
  <si>
    <t>f55</t>
  </si>
  <si>
    <t>f66</t>
  </si>
  <si>
    <t>f77</t>
  </si>
  <si>
    <t>f88</t>
  </si>
  <si>
    <t>total %</t>
  </si>
  <si>
    <t>square %</t>
  </si>
  <si>
    <t>f12</t>
  </si>
  <si>
    <t>f13</t>
  </si>
  <si>
    <t>f23</t>
  </si>
  <si>
    <t>f34</t>
  </si>
  <si>
    <t>f45</t>
  </si>
  <si>
    <t>f56</t>
  </si>
  <si>
    <t>f67</t>
  </si>
  <si>
    <t>f78</t>
  </si>
  <si>
    <t>f24</t>
  </si>
  <si>
    <t>f35</t>
  </si>
  <si>
    <t>f46</t>
  </si>
  <si>
    <t>f57</t>
  </si>
  <si>
    <t>f68</t>
  </si>
  <si>
    <t>f14</t>
  </si>
  <si>
    <t>f25</t>
  </si>
  <si>
    <t>f36</t>
  </si>
  <si>
    <t>f47</t>
  </si>
  <si>
    <t>f58</t>
  </si>
  <si>
    <t>f15</t>
  </si>
  <si>
    <t>f26</t>
  </si>
  <si>
    <t>f37</t>
  </si>
  <si>
    <t>f48</t>
  </si>
  <si>
    <t>f16</t>
  </si>
  <si>
    <t>f27</t>
  </si>
  <si>
    <t>f38</t>
  </si>
  <si>
    <t>f17</t>
  </si>
  <si>
    <t>f28</t>
  </si>
  <si>
    <t>f18</t>
  </si>
  <si>
    <t>f81</t>
  </si>
  <si>
    <t>f71</t>
  </si>
  <si>
    <t>f82</t>
  </si>
  <si>
    <t>f61</t>
  </si>
  <si>
    <t>f72</t>
  </si>
  <si>
    <t>f83</t>
  </si>
  <si>
    <t>f51</t>
  </si>
  <si>
    <t>f62</t>
  </si>
  <si>
    <t>f73</t>
  </si>
  <si>
    <t>f84</t>
  </si>
  <si>
    <t>f41</t>
  </si>
  <si>
    <t>f52</t>
  </si>
  <si>
    <t>f63</t>
  </si>
  <si>
    <t>f74</t>
  </si>
  <si>
    <t>f85</t>
  </si>
  <si>
    <t>f31</t>
  </si>
  <si>
    <t>f42</t>
  </si>
  <si>
    <t>f53</t>
  </si>
  <si>
    <t>f64</t>
  </si>
  <si>
    <t>f75</t>
  </si>
  <si>
    <t>f86</t>
  </si>
  <si>
    <t>f21</t>
  </si>
  <si>
    <t>f32</t>
  </si>
  <si>
    <t>f43</t>
  </si>
  <si>
    <t>f54</t>
  </si>
  <si>
    <t>f65</t>
  </si>
  <si>
    <t>f76</t>
  </si>
  <si>
    <t>f87</t>
  </si>
  <si>
    <t>tremble</t>
  </si>
  <si>
    <t>horizontal-right</t>
  </si>
  <si>
    <t>vertical-up</t>
  </si>
  <si>
    <t>vertical-down</t>
  </si>
  <si>
    <t>pone</t>
  </si>
  <si>
    <t>ptwo</t>
  </si>
  <si>
    <t>pthree</t>
  </si>
  <si>
    <t>pfour</t>
  </si>
  <si>
    <t>pfive</t>
  </si>
  <si>
    <t>psix</t>
  </si>
  <si>
    <t>pseven</t>
  </si>
  <si>
    <t>peight</t>
  </si>
  <si>
    <t xml:space="preserve">model's </t>
  </si>
  <si>
    <t>prediction of</t>
  </si>
  <si>
    <t>actual</t>
  </si>
  <si>
    <t>Normal</t>
  </si>
  <si>
    <t>Parameters</t>
  </si>
  <si>
    <t xml:space="preserve"> </t>
  </si>
  <si>
    <t>mu=u</t>
  </si>
  <si>
    <t>sigma=v</t>
  </si>
  <si>
    <t>model</t>
  </si>
  <si>
    <t>data</t>
  </si>
  <si>
    <t>cumulative</t>
  </si>
  <si>
    <t>distribution</t>
  </si>
  <si>
    <t>from</t>
  </si>
  <si>
    <t>sum</t>
  </si>
  <si>
    <t>b=1-d</t>
  </si>
  <si>
    <t>e=1-a</t>
  </si>
  <si>
    <t>B=1-D=k</t>
  </si>
  <si>
    <t>E=1-A=n</t>
  </si>
  <si>
    <t>d</t>
  </si>
  <si>
    <t>modulus of</t>
  </si>
  <si>
    <t>difference of</t>
  </si>
  <si>
    <t>distributions</t>
  </si>
  <si>
    <t>|N-O|</t>
  </si>
  <si>
    <t>max diff:</t>
  </si>
  <si>
    <t>reject null hypothesis that model fits data</t>
  </si>
  <si>
    <t>at significance levels</t>
  </si>
  <si>
    <t>from Normal</t>
  </si>
  <si>
    <t>unconditioned</t>
  </si>
  <si>
    <t>on diagonal</t>
  </si>
  <si>
    <t>max diff</t>
  </si>
  <si>
    <t>K-S diagonal</t>
  </si>
  <si>
    <t>model prob</t>
  </si>
  <si>
    <t>data prob</t>
  </si>
  <si>
    <t xml:space="preserve">              sums of diagonal percentages</t>
  </si>
  <si>
    <t>frequencies</t>
  </si>
  <si>
    <t>Optimal</t>
  </si>
  <si>
    <t>mu</t>
  </si>
  <si>
    <t>sigma</t>
  </si>
  <si>
    <t>K-S statistic formula</t>
  </si>
  <si>
    <t>sign level</t>
  </si>
  <si>
    <t>k</t>
  </si>
  <si>
    <t>formula</t>
  </si>
  <si>
    <t>no of subjects</t>
  </si>
  <si>
    <t>Model</t>
  </si>
  <si>
    <t>r2 interval is up to</t>
  </si>
  <si>
    <t>one-half</t>
  </si>
  <si>
    <t>eleven-twentyfourths</t>
  </si>
  <si>
    <t>five-twelfths</t>
  </si>
  <si>
    <t>three-eights</t>
  </si>
  <si>
    <t>one-third</t>
  </si>
  <si>
    <t>two-sevenths</t>
  </si>
  <si>
    <t>two-ninths</t>
  </si>
  <si>
    <t>two-fifteenths</t>
  </si>
  <si>
    <t>column %</t>
  </si>
  <si>
    <t>r1 is up to</t>
  </si>
  <si>
    <t>eleven-twentyfifths</t>
  </si>
  <si>
    <t>Model Percentages</t>
  </si>
  <si>
    <t>Max K-S</t>
  </si>
  <si>
    <t>K-S max</t>
  </si>
  <si>
    <t>M&gt;5</t>
  </si>
  <si>
    <t>Version 3</t>
  </si>
  <si>
    <t>10% K-S&lt;0.136</t>
  </si>
  <si>
    <t>5% K-S&lt;0.152</t>
  </si>
  <si>
    <t>1% K-S&lt;0.182</t>
  </si>
  <si>
    <t>K-S SE-NW</t>
  </si>
  <si>
    <t>SE-NW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</si>
</sst>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7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165" fontId="0" fillId="0" borderId="0" xfId="0" applyNumberFormat="1"/>
    <xf numFmtId="0" fontId="4" fillId="0" borderId="0" xfId="0" applyFont="1" applyFill="1"/>
    <xf numFmtId="0" fontId="0" fillId="0" borderId="0" xfId="0" applyFill="1"/>
    <xf numFmtId="0" fontId="4" fillId="0" borderId="0" xfId="0" applyFont="1"/>
    <xf numFmtId="20" fontId="0" fillId="0" borderId="0" xfId="0" applyNumberFormat="1"/>
    <xf numFmtId="17" fontId="0" fillId="0" borderId="0" xfId="0" applyNumberFormat="1"/>
    <xf numFmtId="0" fontId="4" fillId="2" borderId="0" xfId="0" applyFont="1" applyFill="1"/>
    <xf numFmtId="9" fontId="3" fillId="2" borderId="0" xfId="1" applyFont="1" applyFill="1"/>
    <xf numFmtId="0" fontId="0" fillId="2" borderId="0" xfId="0" applyFill="1"/>
    <xf numFmtId="9" fontId="3" fillId="0" borderId="0" xfId="1" applyNumberFormat="1" applyFont="1"/>
    <xf numFmtId="9" fontId="0" fillId="0" borderId="0" xfId="1" applyFont="1"/>
    <xf numFmtId="9" fontId="5" fillId="3" borderId="0" xfId="1" applyFont="1" applyFill="1"/>
    <xf numFmtId="0" fontId="0" fillId="3" borderId="0" xfId="0" applyFill="1"/>
    <xf numFmtId="0" fontId="0" fillId="4" borderId="0" xfId="0" applyFill="1"/>
    <xf numFmtId="9" fontId="5" fillId="4" borderId="0" xfId="1" applyFont="1" applyFill="1"/>
    <xf numFmtId="49" fontId="0" fillId="0" borderId="0" xfId="0" applyNumberFormat="1"/>
    <xf numFmtId="49" fontId="0" fillId="0" borderId="0" xfId="0" applyNumberFormat="1" applyFill="1"/>
    <xf numFmtId="2" fontId="0" fillId="0" borderId="0" xfId="0" applyNumberFormat="1"/>
    <xf numFmtId="49" fontId="0" fillId="5" borderId="0" xfId="0" applyNumberFormat="1" applyFill="1"/>
    <xf numFmtId="49" fontId="3" fillId="5" borderId="0" xfId="1" applyNumberFormat="1" applyFont="1" applyFill="1"/>
    <xf numFmtId="9" fontId="3" fillId="5" borderId="0" xfId="1" applyFont="1" applyFill="1"/>
    <xf numFmtId="9" fontId="0" fillId="5" borderId="0" xfId="0" applyNumberFormat="1" applyFill="1"/>
    <xf numFmtId="9" fontId="0" fillId="3" borderId="0" xfId="0" applyNumberFormat="1" applyFill="1"/>
    <xf numFmtId="9" fontId="5" fillId="5" borderId="0" xfId="1" applyFont="1" applyFill="1"/>
    <xf numFmtId="164" fontId="0" fillId="0" borderId="0" xfId="0" applyNumberFormat="1"/>
    <xf numFmtId="49" fontId="1" fillId="0" borderId="0" xfId="0" applyNumberFormat="1" applyFont="1"/>
    <xf numFmtId="2" fontId="0" fillId="0" borderId="0" xfId="1" applyNumberFormat="1" applyFont="1"/>
    <xf numFmtId="2" fontId="1" fillId="0" borderId="0" xfId="1" applyNumberFormat="1" applyFont="1"/>
    <xf numFmtId="2" fontId="0" fillId="4" borderId="0" xfId="1" applyNumberFormat="1" applyFont="1" applyFill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tsanalysisV9%20June19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 results %"/>
      <sheetName val="Version 1 on-site"/>
      <sheetName val="Version 1 on-line"/>
      <sheetName val="Version 2 on-site"/>
      <sheetName val="Version 2 on-line"/>
      <sheetName val="Version 3 on-site"/>
      <sheetName val="Version 3 on-line"/>
      <sheetName val="students versions 1 &amp;  on-site "/>
      <sheetName val="Version 2&amp;3 on-site average"/>
      <sheetName val="Version 4 (Losses)"/>
      <sheetName val="Version 5 (Losses, AA)"/>
      <sheetName val="Version 6 (Gains, A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5">
          <cell r="A15" t="str">
            <v>r2 interval is up to</v>
          </cell>
        </row>
        <row r="16">
          <cell r="A16" t="str">
            <v>one-half</v>
          </cell>
        </row>
        <row r="17">
          <cell r="A17" t="str">
            <v>eleven-twentyfourths</v>
          </cell>
        </row>
        <row r="18">
          <cell r="A18" t="str">
            <v>five-twelfths</v>
          </cell>
        </row>
        <row r="19">
          <cell r="A19" t="str">
            <v>three-eights</v>
          </cell>
        </row>
        <row r="20">
          <cell r="A20" t="str">
            <v>one-third</v>
          </cell>
        </row>
        <row r="21">
          <cell r="A21" t="str">
            <v>two-sevenths</v>
          </cell>
        </row>
        <row r="22">
          <cell r="A22" t="str">
            <v>two-ninths</v>
          </cell>
        </row>
        <row r="23">
          <cell r="A23" t="str">
            <v>two-fifteenths</v>
          </cell>
        </row>
        <row r="24">
          <cell r="A24" t="str">
            <v>column %</v>
          </cell>
        </row>
        <row r="25">
          <cell r="A25" t="str">
            <v>r1 is up to</v>
          </cell>
          <cell r="B25" t="str">
            <v>two-fifteenths</v>
          </cell>
          <cell r="C25" t="str">
            <v>two-ninths</v>
          </cell>
          <cell r="D25" t="str">
            <v>two-sevenths</v>
          </cell>
          <cell r="E25" t="str">
            <v>one-third</v>
          </cell>
          <cell r="F25" t="str">
            <v>three-eights</v>
          </cell>
          <cell r="G25" t="str">
            <v>five-twelfths</v>
          </cell>
          <cell r="H25" t="str">
            <v>eleven-twentyfifths</v>
          </cell>
          <cell r="I25" t="str">
            <v>one-half</v>
          </cell>
        </row>
        <row r="29">
          <cell r="M29" t="str">
            <v>r1 compared to r1</v>
          </cell>
          <cell r="P29" t="str">
            <v xml:space="preserve">difference </v>
          </cell>
        </row>
        <row r="30">
          <cell r="M30" t="str">
            <v>c1</v>
          </cell>
        </row>
        <row r="31">
          <cell r="M31" t="str">
            <v>c1+c2</v>
          </cell>
        </row>
        <row r="32">
          <cell r="M32" t="str">
            <v>c1+c2+c3</v>
          </cell>
        </row>
        <row r="33">
          <cell r="M33" t="str">
            <v>c1+c2+c3+c4</v>
          </cell>
        </row>
        <row r="34">
          <cell r="M34" t="str">
            <v>c1+c2+c3+c4+c5</v>
          </cell>
        </row>
        <row r="35">
          <cell r="M35" t="str">
            <v>c1+c2+c3+c4+c5+c6</v>
          </cell>
        </row>
        <row r="36">
          <cell r="M36" t="str">
            <v>c1+c2+c3+c4+c5+c6+c7</v>
          </cell>
        </row>
        <row r="37">
          <cell r="M37" t="str">
            <v>c1+c2+c3+c4+c5+c6+c7+c8</v>
          </cell>
        </row>
        <row r="38">
          <cell r="M38" t="str">
            <v>maximum diff</v>
          </cell>
        </row>
        <row r="39">
          <cell r="M39" t="str">
            <v>r2 compared to r2</v>
          </cell>
        </row>
        <row r="40">
          <cell r="M40" t="str">
            <v>r1</v>
          </cell>
        </row>
        <row r="41">
          <cell r="M41" t="str">
            <v>r1+r2</v>
          </cell>
        </row>
        <row r="42">
          <cell r="M42" t="str">
            <v>r1+r2+r3</v>
          </cell>
        </row>
        <row r="43">
          <cell r="M43" t="str">
            <v>r1+r2+r3+r4</v>
          </cell>
        </row>
        <row r="44">
          <cell r="M44" t="str">
            <v>r1+r2+r3+r4+r5</v>
          </cell>
        </row>
        <row r="45">
          <cell r="M45" t="str">
            <v>r1+r2+r3+r4+r5+r6</v>
          </cell>
        </row>
        <row r="46">
          <cell r="M46" t="str">
            <v>r1+r2+r3+r4+r5+r6+r7</v>
          </cell>
        </row>
        <row r="47">
          <cell r="M47" t="str">
            <v>r1+r2+r3+r4+r5+r6+r7+r8</v>
          </cell>
        </row>
        <row r="48">
          <cell r="M48" t="str">
            <v>maximum diff</v>
          </cell>
        </row>
        <row r="49">
          <cell r="M49" t="str">
            <v>r1-r2 compared to r1-r2</v>
          </cell>
        </row>
        <row r="50">
          <cell r="M50" t="str">
            <v>d1</v>
          </cell>
        </row>
        <row r="51">
          <cell r="M51" t="str">
            <v>d1+d2</v>
          </cell>
        </row>
        <row r="52">
          <cell r="M52" t="str">
            <v>d1+d2+d3</v>
          </cell>
        </row>
        <row r="53">
          <cell r="M53" t="str">
            <v>d1+d2+d3+d4</v>
          </cell>
        </row>
        <row r="54">
          <cell r="M54" t="str">
            <v>d1+d2+d3+d4+d5</v>
          </cell>
        </row>
        <row r="55">
          <cell r="M55" t="str">
            <v>d1+d2+d3+d4+d5+d6</v>
          </cell>
        </row>
        <row r="56">
          <cell r="M56" t="str">
            <v>d1+d2+d3+d4+d5+d6+d7</v>
          </cell>
        </row>
        <row r="57">
          <cell r="M57" t="str">
            <v>d1+d2+d3+d4+d5+d6+d7+d8</v>
          </cell>
        </row>
        <row r="58">
          <cell r="M58" t="str">
            <v>d1 to d9</v>
          </cell>
        </row>
        <row r="59">
          <cell r="M59" t="str">
            <v>d1 to d10</v>
          </cell>
        </row>
        <row r="60">
          <cell r="M60" t="str">
            <v>d1 to d11</v>
          </cell>
        </row>
        <row r="61">
          <cell r="M61" t="str">
            <v>d1 to d12</v>
          </cell>
        </row>
        <row r="62">
          <cell r="M62" t="str">
            <v>d1 to d13</v>
          </cell>
        </row>
        <row r="63">
          <cell r="M63" t="str">
            <v>d1 to d14</v>
          </cell>
        </row>
        <row r="64">
          <cell r="M64" t="str">
            <v>d1 to d15</v>
          </cell>
        </row>
        <row r="65">
          <cell r="M65" t="str">
            <v>maximum diff</v>
          </cell>
        </row>
        <row r="66">
          <cell r="M66" t="str">
            <v>r1+r2 compared to r1+r2</v>
          </cell>
        </row>
        <row r="67">
          <cell r="M67" t="str">
            <v>od1</v>
          </cell>
        </row>
        <row r="68">
          <cell r="M68" t="str">
            <v>od1 to od2</v>
          </cell>
        </row>
        <row r="69">
          <cell r="M69" t="str">
            <v>od1 to od3</v>
          </cell>
        </row>
        <row r="70">
          <cell r="M70" t="str">
            <v>od1 to od 4</v>
          </cell>
        </row>
        <row r="71">
          <cell r="M71" t="str">
            <v>od1 to od5</v>
          </cell>
        </row>
        <row r="72">
          <cell r="M72" t="str">
            <v>od1 to od6</v>
          </cell>
        </row>
        <row r="73">
          <cell r="M73" t="str">
            <v>od1 to od7</v>
          </cell>
        </row>
        <row r="74">
          <cell r="M74" t="str">
            <v>od1 to od8</v>
          </cell>
        </row>
        <row r="75">
          <cell r="M75" t="str">
            <v>od1 to od9</v>
          </cell>
        </row>
        <row r="76">
          <cell r="M76" t="str">
            <v>od1 to od10</v>
          </cell>
        </row>
        <row r="77">
          <cell r="M77" t="str">
            <v>od1 to od11</v>
          </cell>
        </row>
        <row r="78">
          <cell r="M78" t="str">
            <v>od1 to od12</v>
          </cell>
        </row>
        <row r="79">
          <cell r="M79" t="str">
            <v>od1 to od13</v>
          </cell>
        </row>
        <row r="80">
          <cell r="M80" t="str">
            <v>od1 to od14</v>
          </cell>
        </row>
        <row r="81">
          <cell r="M81" t="str">
            <v>od1 to od15</v>
          </cell>
        </row>
        <row r="82">
          <cell r="M82" t="str">
            <v>maximum diff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0"/>
  <sheetViews>
    <sheetView tabSelected="1" zoomScaleNormal="100" workbookViewId="0">
      <selection activeCell="A9" sqref="A9"/>
    </sheetView>
  </sheetViews>
  <sheetFormatPr defaultColWidth="10.625" defaultRowHeight="12.75" x14ac:dyDescent="0.2"/>
  <cols>
    <col min="1" max="1" width="10.625" customWidth="1"/>
    <col min="2" max="3" width="12.25" bestFit="1" customWidth="1"/>
    <col min="4" max="4" width="13.375" bestFit="1" customWidth="1"/>
    <col min="5" max="5" width="11" customWidth="1"/>
    <col min="6" max="7" width="13.375" bestFit="1" customWidth="1"/>
    <col min="8" max="8" width="12.25" bestFit="1" customWidth="1"/>
    <col min="9" max="9" width="11.125" customWidth="1"/>
    <col min="10" max="10" width="10.625" customWidth="1"/>
    <col min="11" max="11" width="10.625" style="28" customWidth="1"/>
    <col min="12" max="12" width="12" bestFit="1" customWidth="1"/>
    <col min="13" max="13" width="19.125" customWidth="1"/>
    <col min="14" max="14" width="12" bestFit="1" customWidth="1"/>
    <col min="15" max="15" width="10.625" customWidth="1"/>
    <col min="16" max="16" width="12" bestFit="1" customWidth="1"/>
    <col min="22" max="22" width="11.75" bestFit="1" customWidth="1"/>
  </cols>
  <sheetData>
    <row r="1" spans="1:25" x14ac:dyDescent="0.2">
      <c r="A1" t="s">
        <v>88</v>
      </c>
      <c r="B1" t="s">
        <v>147</v>
      </c>
      <c r="C1" s="26">
        <f>P27</f>
        <v>4.6345033787975498E-2</v>
      </c>
      <c r="D1" s="19" t="s">
        <v>140</v>
      </c>
      <c r="E1" s="26">
        <f>MAX($P$56, $P$66, $P$83, $P$100)</f>
        <v>0.10657246493361294</v>
      </c>
      <c r="F1" t="s">
        <v>107</v>
      </c>
      <c r="J1" t="s">
        <v>88</v>
      </c>
      <c r="R1" t="s">
        <v>118</v>
      </c>
      <c r="V1" t="s">
        <v>121</v>
      </c>
    </row>
    <row r="2" spans="1:25" x14ac:dyDescent="0.2">
      <c r="A2" t="s">
        <v>86</v>
      </c>
      <c r="B2" t="s">
        <v>113</v>
      </c>
      <c r="C2" s="26">
        <f>ROUND(P42,2)</f>
        <v>0.06</v>
      </c>
      <c r="D2" s="2"/>
      <c r="E2" t="s">
        <v>88</v>
      </c>
      <c r="F2" t="s">
        <v>108</v>
      </c>
      <c r="Q2" t="s">
        <v>88</v>
      </c>
      <c r="R2" t="s">
        <v>1</v>
      </c>
      <c r="S2">
        <v>0.91</v>
      </c>
      <c r="V2" t="s">
        <v>122</v>
      </c>
      <c r="W2" t="s">
        <v>123</v>
      </c>
      <c r="X2" t="s">
        <v>124</v>
      </c>
    </row>
    <row r="3" spans="1:25" x14ac:dyDescent="0.2">
      <c r="A3" t="s">
        <v>87</v>
      </c>
      <c r="B3" t="s">
        <v>89</v>
      </c>
      <c r="C3" t="s">
        <v>90</v>
      </c>
      <c r="F3" s="1" t="s">
        <v>144</v>
      </c>
      <c r="G3" s="1" t="s">
        <v>145</v>
      </c>
      <c r="H3" s="1" t="s">
        <v>146</v>
      </c>
      <c r="L3" t="s">
        <v>88</v>
      </c>
      <c r="M3" t="s">
        <v>88</v>
      </c>
      <c r="R3" t="s">
        <v>101</v>
      </c>
      <c r="S3">
        <v>0.78</v>
      </c>
      <c r="V3">
        <v>0.1</v>
      </c>
      <c r="W3">
        <v>1.22</v>
      </c>
      <c r="X3">
        <f>SQRT((V8+V9)/(V8*V9))</f>
        <v>0.11180339932220308</v>
      </c>
      <c r="Y3">
        <f>PRODUCT(X3, W3)</f>
        <v>0.13640014717308777</v>
      </c>
    </row>
    <row r="4" spans="1:25" x14ac:dyDescent="0.2">
      <c r="A4" t="s">
        <v>88</v>
      </c>
      <c r="B4">
        <v>0.312</v>
      </c>
      <c r="C4">
        <v>3.5000000000000003E-2</v>
      </c>
      <c r="L4" t="s">
        <v>88</v>
      </c>
      <c r="M4" t="s">
        <v>88</v>
      </c>
      <c r="R4" t="s">
        <v>119</v>
      </c>
      <c r="S4">
        <v>0.312</v>
      </c>
      <c r="V4">
        <v>0.05</v>
      </c>
      <c r="W4">
        <v>1.36</v>
      </c>
      <c r="Y4">
        <f>X3*W4</f>
        <v>0.1520526230781962</v>
      </c>
    </row>
    <row r="5" spans="1:25" x14ac:dyDescent="0.2">
      <c r="A5" t="s">
        <v>71</v>
      </c>
      <c r="C5">
        <v>5</v>
      </c>
      <c r="E5" t="s">
        <v>73</v>
      </c>
      <c r="G5" t="s">
        <v>72</v>
      </c>
      <c r="I5" t="s">
        <v>74</v>
      </c>
      <c r="L5" t="s">
        <v>91</v>
      </c>
      <c r="M5" t="s">
        <v>92</v>
      </c>
      <c r="N5" t="s">
        <v>91</v>
      </c>
      <c r="O5" t="s">
        <v>92</v>
      </c>
      <c r="P5" t="s">
        <v>102</v>
      </c>
      <c r="R5" t="s">
        <v>120</v>
      </c>
      <c r="S5">
        <v>3.5000000000000003E-2</v>
      </c>
      <c r="V5">
        <v>0.01</v>
      </c>
      <c r="W5">
        <v>1.63</v>
      </c>
      <c r="Y5">
        <f>X3*W5</f>
        <v>0.18223954089519101</v>
      </c>
    </row>
    <row r="6" spans="1:25" x14ac:dyDescent="0.2">
      <c r="A6" t="s">
        <v>0</v>
      </c>
      <c r="B6" t="s">
        <v>1</v>
      </c>
      <c r="C6" t="s">
        <v>97</v>
      </c>
      <c r="D6" t="s">
        <v>2</v>
      </c>
      <c r="E6" t="s">
        <v>99</v>
      </c>
      <c r="F6" t="s">
        <v>101</v>
      </c>
      <c r="G6" t="s">
        <v>98</v>
      </c>
      <c r="H6" t="s">
        <v>3</v>
      </c>
      <c r="I6" t="s">
        <v>100</v>
      </c>
      <c r="K6" s="28" t="s">
        <v>85</v>
      </c>
      <c r="L6" s="1" t="s">
        <v>148</v>
      </c>
      <c r="M6" s="1" t="s">
        <v>148</v>
      </c>
      <c r="N6" t="s">
        <v>93</v>
      </c>
      <c r="O6" t="s">
        <v>93</v>
      </c>
      <c r="P6" t="s">
        <v>103</v>
      </c>
    </row>
    <row r="7" spans="1:25" x14ac:dyDescent="0.2">
      <c r="B7">
        <v>0.91</v>
      </c>
      <c r="C7">
        <f>1-F7</f>
        <v>0.21999999999999997</v>
      </c>
      <c r="D7">
        <f>B7</f>
        <v>0.91</v>
      </c>
      <c r="E7">
        <f>1-F7</f>
        <v>0.21999999999999997</v>
      </c>
      <c r="F7">
        <v>0.78</v>
      </c>
      <c r="G7">
        <f>1-B7</f>
        <v>8.9999999999999969E-2</v>
      </c>
      <c r="H7">
        <f>F7</f>
        <v>0.78</v>
      </c>
      <c r="I7">
        <f>1-D7</f>
        <v>8.9999999999999969E-2</v>
      </c>
      <c r="J7" t="s">
        <v>83</v>
      </c>
      <c r="K7" s="28" t="s">
        <v>14</v>
      </c>
      <c r="L7" t="s">
        <v>117</v>
      </c>
      <c r="M7" s="1" t="s">
        <v>117</v>
      </c>
      <c r="N7" t="s">
        <v>94</v>
      </c>
      <c r="O7" t="s">
        <v>94</v>
      </c>
      <c r="P7" t="s">
        <v>93</v>
      </c>
      <c r="R7" t="s">
        <v>147</v>
      </c>
      <c r="S7">
        <v>4.5999999999999999E-2</v>
      </c>
      <c r="V7" t="s">
        <v>125</v>
      </c>
    </row>
    <row r="8" spans="1:25" x14ac:dyDescent="0.2">
      <c r="A8" t="s">
        <v>4</v>
      </c>
      <c r="B8" t="s">
        <v>75</v>
      </c>
      <c r="C8" t="s">
        <v>76</v>
      </c>
      <c r="D8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82</v>
      </c>
      <c r="J8" t="s">
        <v>84</v>
      </c>
      <c r="L8" t="s">
        <v>95</v>
      </c>
      <c r="M8" t="s">
        <v>95</v>
      </c>
      <c r="N8" t="s">
        <v>95</v>
      </c>
      <c r="O8" t="s">
        <v>95</v>
      </c>
      <c r="P8" t="s">
        <v>104</v>
      </c>
      <c r="R8" t="s">
        <v>113</v>
      </c>
      <c r="S8">
        <v>0.06</v>
      </c>
      <c r="U8" t="s">
        <v>126</v>
      </c>
      <c r="V8">
        <v>10000000000</v>
      </c>
    </row>
    <row r="9" spans="1:25" ht="12" customHeight="1" x14ac:dyDescent="0.2">
      <c r="A9" t="s">
        <v>109</v>
      </c>
      <c r="B9" s="26">
        <f>B10*100/SUM(B10:I10)</f>
        <v>9.9645359738587584E-6</v>
      </c>
      <c r="C9" s="26">
        <f>C10*100/SUM(B10:I10)</f>
        <v>0.42871648403474122</v>
      </c>
      <c r="D9" s="26">
        <f>D10*100/SUM(B10:I10)</f>
        <v>26.053048490384498</v>
      </c>
      <c r="E9" s="26">
        <f>E10*100/SUM(B10:I10)</f>
        <v>43.166379116078687</v>
      </c>
      <c r="F9" s="26">
        <f>F10*100/SUM(B10:I10)</f>
        <v>27.751246730270061</v>
      </c>
      <c r="G9" s="26">
        <f>G10*100/SUM(B10:I10)</f>
        <v>2.5001666594293783</v>
      </c>
      <c r="H9" s="26">
        <f>H10*100/SUM(B10:I10)</f>
        <v>0.10035712738690217</v>
      </c>
      <c r="I9" s="26">
        <f>I10*100/SUM(B10:I10)</f>
        <v>7.5427879756958602E-5</v>
      </c>
      <c r="J9" s="26" t="s">
        <v>14</v>
      </c>
      <c r="K9" s="29"/>
      <c r="L9" t="s">
        <v>43</v>
      </c>
      <c r="M9" t="s">
        <v>43</v>
      </c>
      <c r="N9" t="s">
        <v>43</v>
      </c>
      <c r="O9" t="s">
        <v>43</v>
      </c>
      <c r="P9" t="s">
        <v>105</v>
      </c>
      <c r="R9" t="s">
        <v>141</v>
      </c>
      <c r="S9" s="19">
        <f>MAX($P$56, $P$66, $P$83, $P$100)</f>
        <v>0.10657246493361294</v>
      </c>
      <c r="U9" s="1" t="s">
        <v>143</v>
      </c>
      <c r="V9">
        <v>80</v>
      </c>
    </row>
    <row r="10" spans="1:25" ht="12" customHeight="1" x14ac:dyDescent="0.2">
      <c r="A10" t="s">
        <v>110</v>
      </c>
      <c r="B10" s="26">
        <f>100*NORMDIST(0.13,u,v,TRUE)-100*NORMDIST(0,u,v,TRUE)</f>
        <v>9.9644263169089392E-6</v>
      </c>
      <c r="C10" s="26">
        <f>100*NORMDIST(0.22,u,v,TRUE)-100*NORMDIST(0.13,u,v,TRUE)</f>
        <v>0.42871176612895018</v>
      </c>
      <c r="D10" s="26">
        <f>100*NORMDIST(0.29,u,v,TRUE)-100*NORMDIST(0.22,u,v,TRUE)</f>
        <v>26.052761783824511</v>
      </c>
      <c r="E10" s="26">
        <f>100*NORMDIST(0.33,u,v,TRUE)-100*NORMDIST(0.29,u,v,TRUE)</f>
        <v>43.165904082069986</v>
      </c>
      <c r="F10" s="26">
        <f>100*NORMDIST(0.38,u,v,TRUE)-100*NORMDIST(0.33,u,v,TRUE)</f>
        <v>27.750941335510277</v>
      </c>
      <c r="G10" s="26">
        <f>100*NORMDIST(0.42,u,v,TRUE)-100*NORMDIST(0.38,u,v,TRUE)</f>
        <v>2.5001391457899445</v>
      </c>
      <c r="H10" s="26">
        <f>100*NORMDIST(0.46,u,v,TRUE)-100*NORMDIST(0.42,u,v,TRUE)</f>
        <v>0.10035602298459878</v>
      </c>
      <c r="I10" s="26">
        <f>100*NORMDIST(0.5,u,v,TRUE)-100*NORMDIST(0.48,u,v,TRUE)</f>
        <v>7.5427049694098969E-5</v>
      </c>
      <c r="J10" s="26"/>
    </row>
    <row r="11" spans="1:25" x14ac:dyDescent="0.2">
      <c r="A11" t="s">
        <v>43</v>
      </c>
      <c r="B11" s="26">
        <f>e^3*m^3</f>
        <v>3.4594840799999967E-4</v>
      </c>
      <c r="C11" s="26">
        <f>e^3*m^2*n</f>
        <v>3.9917123999999949E-5</v>
      </c>
      <c r="D11" s="26">
        <f>e^3*m*n^2</f>
        <v>4.6058219999999926E-6</v>
      </c>
      <c r="E11" s="26">
        <f>e^3*m*n^2</f>
        <v>4.6058219999999926E-6</v>
      </c>
      <c r="F11" s="26">
        <f>d*e^2*n^3</f>
        <v>4.6058219999999926E-6</v>
      </c>
      <c r="G11" s="26">
        <f>d*e^2*n^3</f>
        <v>4.6058219999999926E-6</v>
      </c>
      <c r="H11" s="26">
        <f>d^2*e*n^3</f>
        <v>3.9917123999999949E-5</v>
      </c>
      <c r="I11" s="26">
        <f>d^3*n^3</f>
        <v>3.4594840799999967E-4</v>
      </c>
      <c r="J11" s="19">
        <f>B9*B11+C9*C11+D9*D11+E9*E11+F9*F11+G9*G11+H9*H11+I9*I11</f>
        <v>4.7929362614114983E-4</v>
      </c>
      <c r="K11" s="28">
        <f>I118*100</f>
        <v>0</v>
      </c>
      <c r="L11" s="19">
        <f>J12/J91</f>
        <v>4.7936586809393303E-6</v>
      </c>
      <c r="M11" s="19">
        <f>K11/K91</f>
        <v>0</v>
      </c>
      <c r="N11" s="19">
        <f>L11</f>
        <v>4.7936586809393303E-6</v>
      </c>
      <c r="O11" s="19">
        <f>M11</f>
        <v>0</v>
      </c>
      <c r="P11" s="19">
        <f t="shared" ref="P11:P25" si="0">ABS(N11-O11)</f>
        <v>4.7936586809393303E-6</v>
      </c>
    </row>
    <row r="12" spans="1:25" x14ac:dyDescent="0.2">
      <c r="A12" t="s">
        <v>13</v>
      </c>
      <c r="B12" s="26"/>
      <c r="C12" s="26"/>
      <c r="D12" s="26"/>
      <c r="E12" s="26"/>
      <c r="F12" s="26"/>
      <c r="G12" s="26"/>
      <c r="H12" s="26"/>
      <c r="I12" s="26"/>
      <c r="J12" s="19">
        <f>J11</f>
        <v>4.7929362614114983E-4</v>
      </c>
      <c r="K12" s="28">
        <f>I118*100</f>
        <v>0</v>
      </c>
      <c r="L12" s="19">
        <f>J15/J91</f>
        <v>9.6935527026827405E-5</v>
      </c>
      <c r="M12" s="19">
        <f>K15/K91</f>
        <v>0</v>
      </c>
      <c r="N12" s="19">
        <f t="shared" ref="N12:N25" si="1">N11+L12</f>
        <v>1.0172918570776674E-4</v>
      </c>
      <c r="O12" s="19">
        <f t="shared" ref="O12:O25" si="2">O11+M12</f>
        <v>0</v>
      </c>
      <c r="P12" s="19">
        <f t="shared" si="0"/>
        <v>1.0172918570776674E-4</v>
      </c>
    </row>
    <row r="13" spans="1:25" x14ac:dyDescent="0.2">
      <c r="A13" t="s">
        <v>44</v>
      </c>
      <c r="B13" s="26">
        <f>e^2*a*m^3</f>
        <v>3.4979227919999978E-3</v>
      </c>
      <c r="C13" s="26">
        <f>e^2*a*m^2*n</f>
        <v>4.0360647599999965E-4</v>
      </c>
      <c r="D13" s="26">
        <f>e^2*a*m*n^2</f>
        <v>4.6569977999999935E-5</v>
      </c>
      <c r="E13" s="26">
        <f>e^2*a*m*n^2</f>
        <v>4.6569977999999935E-5</v>
      </c>
      <c r="F13" s="26">
        <f>d*a*e*n^3</f>
        <v>4.6569977999999942E-5</v>
      </c>
      <c r="G13" s="26">
        <f>d*a*e*n^3</f>
        <v>4.6569977999999942E-5</v>
      </c>
      <c r="H13" s="26">
        <f>d^2*a*n^3</f>
        <v>4.036064759999996E-4</v>
      </c>
      <c r="I13" s="26">
        <f>d^2*b*n^3</f>
        <v>9.7575191999999897E-5</v>
      </c>
      <c r="J13" s="19">
        <f>B9*B13+C9*C13+D9*D13+E9*E13+F9*F13+G9*G13+H9*H13+I9*I13</f>
        <v>4.8459346277506116E-3</v>
      </c>
      <c r="K13" s="28">
        <f>H118*100</f>
        <v>0</v>
      </c>
      <c r="L13" s="19">
        <f>J19/J91</f>
        <v>6.8732517793328705E-4</v>
      </c>
      <c r="M13" s="19">
        <f>K19/K91</f>
        <v>0</v>
      </c>
      <c r="N13" s="19">
        <f t="shared" si="1"/>
        <v>7.8905436364105376E-4</v>
      </c>
      <c r="O13" s="19">
        <f t="shared" si="2"/>
        <v>0</v>
      </c>
      <c r="P13" s="19">
        <f t="shared" si="0"/>
        <v>7.8905436364105376E-4</v>
      </c>
    </row>
    <row r="14" spans="1:25" x14ac:dyDescent="0.2">
      <c r="A14" t="s">
        <v>45</v>
      </c>
      <c r="B14" s="26">
        <f>e^3*m^2*k</f>
        <v>9.7575191999999897E-5</v>
      </c>
      <c r="C14" s="26">
        <f>e^3*m^2*j</f>
        <v>4.0360647599999965E-4</v>
      </c>
      <c r="D14" s="26">
        <f>e^3*m*n*j</f>
        <v>4.6569977999999942E-5</v>
      </c>
      <c r="E14" s="26">
        <f>e^3*m*n*j</f>
        <v>4.6569977999999942E-5</v>
      </c>
      <c r="F14" s="26">
        <f>d*e^2*n^2*j</f>
        <v>4.6569977999999942E-5</v>
      </c>
      <c r="G14" s="26">
        <f>d*e^2*n^2*j</f>
        <v>4.6569977999999942E-5</v>
      </c>
      <c r="H14" s="26">
        <f>d^2*e*n^2*j</f>
        <v>4.0360647599999965E-4</v>
      </c>
      <c r="I14" s="26">
        <f>d^3*n^2*j</f>
        <v>3.4979227919999978E-3</v>
      </c>
      <c r="J14" s="19">
        <f>B9*B14+C9*C14+D9*D14+E9*E14+F9*F14+G9*G14+H9*H14+I9*I14</f>
        <v>4.8461572258745329E-3</v>
      </c>
      <c r="K14" s="28">
        <f>I117*100</f>
        <v>0</v>
      </c>
      <c r="L14" s="19">
        <f>J24/J91</f>
        <v>2.8513751262758086E-3</v>
      </c>
      <c r="M14" s="19">
        <f>K24/K91</f>
        <v>6.2500000000000003E-3</v>
      </c>
      <c r="N14" s="19">
        <f t="shared" si="1"/>
        <v>3.6404294899168624E-3</v>
      </c>
      <c r="O14" s="19">
        <f t="shared" si="2"/>
        <v>6.2500000000000003E-3</v>
      </c>
      <c r="P14" s="19">
        <f t="shared" si="0"/>
        <v>2.6095705100831379E-3</v>
      </c>
    </row>
    <row r="15" spans="1:25" x14ac:dyDescent="0.2">
      <c r="A15" t="s">
        <v>13</v>
      </c>
      <c r="B15" s="26"/>
      <c r="C15" s="26"/>
      <c r="D15" s="26"/>
      <c r="E15" s="26"/>
      <c r="F15" s="26"/>
      <c r="G15" s="26"/>
      <c r="H15" s="26"/>
      <c r="I15" s="26"/>
      <c r="J15" s="19">
        <f>SUM(J13:J14)</f>
        <v>9.6920918536251444E-3</v>
      </c>
      <c r="K15" s="28">
        <f>SUM(K13:K14)</f>
        <v>0</v>
      </c>
      <c r="L15" s="19">
        <f>J30/J91</f>
        <v>1.2862667790221586E-2</v>
      </c>
      <c r="M15" s="19">
        <f>K30/K91</f>
        <v>1.2500000000000001E-2</v>
      </c>
      <c r="N15" s="19">
        <f t="shared" si="1"/>
        <v>1.6503097280138448E-2</v>
      </c>
      <c r="O15" s="19">
        <f t="shared" si="2"/>
        <v>1.8750000000000003E-2</v>
      </c>
      <c r="P15" s="19">
        <f t="shared" si="0"/>
        <v>2.2469027198615543E-3</v>
      </c>
    </row>
    <row r="16" spans="1:25" x14ac:dyDescent="0.2">
      <c r="A16" t="s">
        <v>46</v>
      </c>
      <c r="B16" s="26">
        <f>e^2*a*m^3</f>
        <v>3.4979227919999978E-3</v>
      </c>
      <c r="C16" s="26">
        <f>e^2*a*m^2*n</f>
        <v>4.0360647599999965E-4</v>
      </c>
      <c r="D16" s="26">
        <f>a*e^2*m*n^2</f>
        <v>4.6569977999999935E-5</v>
      </c>
      <c r="E16" s="26">
        <f>e^2*a*m*n^2</f>
        <v>4.6569977999999935E-5</v>
      </c>
      <c r="F16" s="26">
        <f>d*a*e*n^3</f>
        <v>4.6569977999999942E-5</v>
      </c>
      <c r="G16" s="26">
        <f>d^2*a*n^3</f>
        <v>4.036064759999996E-4</v>
      </c>
      <c r="H16" s="26">
        <f>d^2*b*n^3</f>
        <v>9.7575191999999897E-5</v>
      </c>
      <c r="I16" s="26">
        <f>d^2*b*n^3</f>
        <v>9.7575191999999897E-5</v>
      </c>
      <c r="J16" s="19">
        <f>B9*B16+C9*C16+D9*D16+E9*E16+F9*F16+G9*G16+H9*H16+I9*I16</f>
        <v>5.707872955696869E-3</v>
      </c>
      <c r="K16" s="28">
        <f>G118*100</f>
        <v>0</v>
      </c>
      <c r="L16" s="19">
        <f>J37/J91</f>
        <v>4.8094329312246366E-2</v>
      </c>
      <c r="M16" s="19">
        <f>K37/K91</f>
        <v>5.9374999999999997E-2</v>
      </c>
      <c r="N16" s="19">
        <f t="shared" si="1"/>
        <v>6.4597426592384821E-2</v>
      </c>
      <c r="O16" s="19">
        <f t="shared" si="2"/>
        <v>7.8125E-2</v>
      </c>
      <c r="P16" s="19">
        <f t="shared" si="0"/>
        <v>1.3527573407615179E-2</v>
      </c>
    </row>
    <row r="17" spans="1:16" x14ac:dyDescent="0.2">
      <c r="A17" t="s">
        <v>47</v>
      </c>
      <c r="B17" s="26">
        <f>e^2*a*m^2*k</f>
        <v>9.8659360799999932E-4</v>
      </c>
      <c r="C17" s="26">
        <f>e^2*a*m^2*j</f>
        <v>4.0809099239999978E-3</v>
      </c>
      <c r="D17" s="26">
        <f>e^2*a*m*n*j</f>
        <v>4.7087422199999952E-4</v>
      </c>
      <c r="E17" s="26">
        <f>e^2*a*m*n*j</f>
        <v>4.7087422199999952E-4</v>
      </c>
      <c r="F17" s="26">
        <f>d*a*e*n^2*j</f>
        <v>4.7087422199999952E-4</v>
      </c>
      <c r="G17" s="26">
        <f>d*a*e*n^2*j</f>
        <v>4.7087422199999952E-4</v>
      </c>
      <c r="H17" s="26">
        <f>d^2*a*n^2*j</f>
        <v>4.0809099239999969E-3</v>
      </c>
      <c r="I17" s="26">
        <f>d^2*b*n^2*j</f>
        <v>9.8659360799999932E-4</v>
      </c>
      <c r="J17" s="19">
        <f>B9*B17+C9*C17+D9*D17+E9*E17+F9*F17+G9*G17+H9*H17+I9*I17</f>
        <v>4.8997440864742371E-2</v>
      </c>
      <c r="K17" s="28">
        <f>H117*100</f>
        <v>0</v>
      </c>
      <c r="L17" s="19">
        <f>J45/J91</f>
        <v>9.4213021076471559E-2</v>
      </c>
      <c r="M17" s="19">
        <f>K45/K91</f>
        <v>0.121875</v>
      </c>
      <c r="N17" s="19">
        <f t="shared" si="1"/>
        <v>0.15881044766885638</v>
      </c>
      <c r="O17" s="19">
        <f t="shared" si="2"/>
        <v>0.2</v>
      </c>
      <c r="P17" s="19">
        <f t="shared" si="0"/>
        <v>4.1189552331143631E-2</v>
      </c>
    </row>
    <row r="18" spans="1:16" x14ac:dyDescent="0.2">
      <c r="A18" t="s">
        <v>48</v>
      </c>
      <c r="B18" s="26">
        <f>e^3*m^2*k</f>
        <v>9.7575191999999897E-5</v>
      </c>
      <c r="C18" s="26">
        <f>e^3*m^2*k</f>
        <v>9.7575191999999897E-5</v>
      </c>
      <c r="D18" s="26">
        <f>e^3*j*m^2</f>
        <v>4.0360647599999965E-4</v>
      </c>
      <c r="E18" s="26">
        <f>e^3*m*j*n</f>
        <v>4.6569977999999942E-5</v>
      </c>
      <c r="F18" s="26">
        <f>d*e^2*n^2*j</f>
        <v>4.6569977999999942E-5</v>
      </c>
      <c r="G18" s="26">
        <f>d*e^2*n^2*j</f>
        <v>4.6569977999999942E-5</v>
      </c>
      <c r="H18" s="26">
        <f>d^2*e*n^2*j</f>
        <v>4.0360647599999965E-4</v>
      </c>
      <c r="I18" s="26">
        <f>d^3*n^2*j</f>
        <v>3.4979227919999978E-3</v>
      </c>
      <c r="J18" s="19">
        <f>B9*B18+C9*C18+D9*D18+E9*E18+F9*F18+G9*G18+H9*H18+I9*I18</f>
        <v>1.4016845765024474E-2</v>
      </c>
      <c r="K18" s="28">
        <f>I116*100</f>
        <v>0</v>
      </c>
      <c r="L18" s="19">
        <f>J54/J91</f>
        <v>0.3884364080357911</v>
      </c>
      <c r="M18" s="19">
        <f>K54/K91</f>
        <v>0.37187500000000001</v>
      </c>
      <c r="N18" s="19">
        <f t="shared" si="1"/>
        <v>0.54724685570464748</v>
      </c>
      <c r="O18" s="19">
        <f t="shared" si="2"/>
        <v>0.57187500000000002</v>
      </c>
      <c r="P18" s="19">
        <f t="shared" si="0"/>
        <v>2.4628144295352539E-2</v>
      </c>
    </row>
    <row r="19" spans="1:16" x14ac:dyDescent="0.2">
      <c r="A19" t="s">
        <v>13</v>
      </c>
      <c r="B19" s="26"/>
      <c r="C19" s="26"/>
      <c r="D19" s="26"/>
      <c r="E19" s="26"/>
      <c r="F19" s="26"/>
      <c r="G19" s="26"/>
      <c r="H19" s="26"/>
      <c r="I19" s="26"/>
      <c r="J19" s="19">
        <f>SUM(J16:J18)</f>
        <v>6.872215958546371E-2</v>
      </c>
      <c r="K19" s="28">
        <f>SUM(K16:K18)</f>
        <v>0</v>
      </c>
      <c r="L19" s="19">
        <f>J62/J91</f>
        <v>0.19404129481826282</v>
      </c>
      <c r="M19" s="19">
        <f>K62/K91</f>
        <v>0.15625</v>
      </c>
      <c r="N19" s="19">
        <f t="shared" si="1"/>
        <v>0.74128815052291031</v>
      </c>
      <c r="O19" s="19">
        <f t="shared" si="2"/>
        <v>0.72812500000000002</v>
      </c>
      <c r="P19" s="19">
        <f t="shared" si="0"/>
        <v>1.3163150522910283E-2</v>
      </c>
    </row>
    <row r="20" spans="1:16" x14ac:dyDescent="0.2">
      <c r="A20" t="s">
        <v>49</v>
      </c>
      <c r="B20" s="26">
        <f>e*a^2*m^3</f>
        <v>3.5367886007999998E-2</v>
      </c>
      <c r="C20" s="26">
        <f>a^2*e*m^2*n</f>
        <v>4.0809099239999978E-3</v>
      </c>
      <c r="D20" s="26">
        <f>e*a^2*m*n^2</f>
        <v>4.7087422199999958E-4</v>
      </c>
      <c r="E20" s="26">
        <f>e*a^2*m*n^2</f>
        <v>4.7087422199999958E-4</v>
      </c>
      <c r="F20" s="26">
        <f>d*a^2*n^3</f>
        <v>4.7087422199999963E-4</v>
      </c>
      <c r="G20" s="26">
        <f>d*a*b*n^3</f>
        <v>1.1383772399999989E-4</v>
      </c>
      <c r="H20" s="26">
        <f>d*b^2*n^3</f>
        <v>2.7521207999999968E-5</v>
      </c>
      <c r="I20" s="26">
        <f>d*b^2*n^3</f>
        <v>2.7521207999999968E-5</v>
      </c>
      <c r="J20" s="19">
        <f>B9*B20+C9*C20+D9*D20+E9*E20+F9*F20+G9*G20+H9*H20+I9*I20</f>
        <v>4.7698273921350384E-2</v>
      </c>
      <c r="K20" s="29">
        <f>F118*100</f>
        <v>0</v>
      </c>
      <c r="L20" s="19">
        <f>J69/J91</f>
        <v>0.14568188326506529</v>
      </c>
      <c r="M20" s="19">
        <f>K69/K91</f>
        <v>0.1125</v>
      </c>
      <c r="N20" s="19">
        <f t="shared" si="1"/>
        <v>0.88697003378797556</v>
      </c>
      <c r="O20" s="19">
        <f t="shared" si="2"/>
        <v>0.84062500000000007</v>
      </c>
      <c r="P20" s="19">
        <f t="shared" si="0"/>
        <v>4.6345033787975498E-2</v>
      </c>
    </row>
    <row r="21" spans="1:16" x14ac:dyDescent="0.2">
      <c r="A21" t="s">
        <v>50</v>
      </c>
      <c r="B21" s="26">
        <f>e^2*a*m^2*k</f>
        <v>9.8659360799999932E-4</v>
      </c>
      <c r="C21" s="26">
        <f>e^2*a*m^2*j</f>
        <v>4.0809099239999978E-3</v>
      </c>
      <c r="D21" s="26">
        <f>e^2*a*m*n*j</f>
        <v>4.7087422199999952E-4</v>
      </c>
      <c r="E21" s="26">
        <f>e^2*a*m*n*j</f>
        <v>4.7087422199999952E-4</v>
      </c>
      <c r="F21" s="26">
        <f>d*a*e*n^2*j</f>
        <v>4.7087422199999952E-4</v>
      </c>
      <c r="G21" s="26">
        <f>d^2*a*n^2*j</f>
        <v>4.0809099239999969E-3</v>
      </c>
      <c r="H21" s="26">
        <f>d^2*b*n^2*j</f>
        <v>9.8659360799999932E-4</v>
      </c>
      <c r="I21" s="26">
        <f>d^2*b*n^2*j</f>
        <v>9.8659360799999932E-4</v>
      </c>
      <c r="J21" s="19">
        <f>B9*B21+C9*C21+D9*D21+E9*E21+F9*F21+G9*G21+H9*H21+I9*I21</f>
        <v>5.7712595069532309E-2</v>
      </c>
      <c r="K21" s="28">
        <f>G117*100</f>
        <v>0</v>
      </c>
      <c r="L21" s="19">
        <f>J75/J91</f>
        <v>7.0845682653826528E-2</v>
      </c>
      <c r="M21" s="19">
        <f>K75/K91</f>
        <v>9.375E-2</v>
      </c>
      <c r="N21" s="19">
        <f t="shared" si="1"/>
        <v>0.95781571644180208</v>
      </c>
      <c r="O21" s="19">
        <f t="shared" si="2"/>
        <v>0.93437500000000007</v>
      </c>
      <c r="P21" s="19">
        <f t="shared" si="0"/>
        <v>2.3440716441802012E-2</v>
      </c>
    </row>
    <row r="22" spans="1:16" x14ac:dyDescent="0.2">
      <c r="A22" t="s">
        <v>51</v>
      </c>
      <c r="B22" s="26">
        <f>e^2*a*m^2*k</f>
        <v>9.8659360799999932E-4</v>
      </c>
      <c r="C22" s="26">
        <f>e^2*a*m^2*k</f>
        <v>9.8659360799999932E-4</v>
      </c>
      <c r="D22" s="26">
        <f>e^2*a*j*m^2</f>
        <v>4.0809099239999978E-3</v>
      </c>
      <c r="E22" s="26">
        <f>e^2*a*m*j*n</f>
        <v>4.7087422199999947E-4</v>
      </c>
      <c r="F22" s="26">
        <f>d*a*e*n^2*j</f>
        <v>4.7087422199999952E-4</v>
      </c>
      <c r="G22" s="26">
        <f>d*a*e*n^2*j</f>
        <v>4.7087422199999952E-4</v>
      </c>
      <c r="H22" s="26">
        <f>d^2*a*n^2*j</f>
        <v>4.0809099239999969E-3</v>
      </c>
      <c r="I22" s="26">
        <f>d^2*b*n^2*j</f>
        <v>9.8659360799999932E-4</v>
      </c>
      <c r="J22" s="19">
        <f>B9*B22+C9*C22+D9*D22+E9*E22+F9*F22+G9*G22+H9*H22+I9*I22</f>
        <v>0.14172329164948072</v>
      </c>
      <c r="K22" s="28">
        <f>H116*100</f>
        <v>0.3125</v>
      </c>
      <c r="L22" s="19">
        <f>J80/J91</f>
        <v>2.7508954061977235E-2</v>
      </c>
      <c r="M22" s="19">
        <f>K80/K91</f>
        <v>4.0625000000000001E-2</v>
      </c>
      <c r="N22" s="19">
        <f t="shared" si="1"/>
        <v>0.98532467050377937</v>
      </c>
      <c r="O22" s="19">
        <f t="shared" si="2"/>
        <v>0.97500000000000009</v>
      </c>
      <c r="P22" s="19">
        <f t="shared" si="0"/>
        <v>1.0324670503779276E-2</v>
      </c>
    </row>
    <row r="23" spans="1:16" x14ac:dyDescent="0.2">
      <c r="A23" t="s">
        <v>52</v>
      </c>
      <c r="B23" s="26">
        <f>e^3*m*k^2</f>
        <v>2.7521207999999971E-5</v>
      </c>
      <c r="C23" s="26">
        <f>e^3*m*k^2</f>
        <v>2.7521207999999971E-5</v>
      </c>
      <c r="D23" s="26">
        <f>e^3*m*j*k</f>
        <v>1.1383772399999989E-4</v>
      </c>
      <c r="E23" s="26">
        <f>e^3*m*j^2</f>
        <v>4.7087422199999963E-4</v>
      </c>
      <c r="F23" s="26">
        <f>d*e^2*n*j^2</f>
        <v>4.7087422199999952E-4</v>
      </c>
      <c r="G23" s="26">
        <f>d*e^2*n*j^2</f>
        <v>4.7087422199999952E-4</v>
      </c>
      <c r="H23" s="26">
        <f>d^2*e*n*j^2</f>
        <v>4.0809099239999978E-3</v>
      </c>
      <c r="I23" s="26">
        <f>d^3*n*j^2</f>
        <v>3.5367886007999991E-2</v>
      </c>
      <c r="J23" s="19">
        <f>B9*B23+C9*C23+D9*D23+E9*E23+F9*F23+G9*G23+H9*H23+I9*I23</f>
        <v>3.7960380862039317E-2</v>
      </c>
      <c r="K23" s="28">
        <f>I115*100</f>
        <v>0.3125</v>
      </c>
      <c r="L23" s="19">
        <f>J84/J91</f>
        <v>1.0817276468805417E-2</v>
      </c>
      <c r="M23" s="19">
        <f>K84/K91</f>
        <v>1.2500000000000001E-2</v>
      </c>
      <c r="N23" s="19">
        <f t="shared" si="1"/>
        <v>0.99614194697258474</v>
      </c>
      <c r="O23" s="19">
        <f t="shared" si="2"/>
        <v>0.98750000000000004</v>
      </c>
      <c r="P23" s="19">
        <f t="shared" si="0"/>
        <v>8.6419469725846909E-3</v>
      </c>
    </row>
    <row r="24" spans="1:16" x14ac:dyDescent="0.2">
      <c r="A24" t="s">
        <v>13</v>
      </c>
      <c r="B24" s="26"/>
      <c r="C24" s="26"/>
      <c r="D24" s="26"/>
      <c r="E24" s="26"/>
      <c r="F24" s="26"/>
      <c r="G24" s="26"/>
      <c r="H24" s="26"/>
      <c r="I24" s="26"/>
      <c r="J24" s="19">
        <f>SUM(J20:J23)</f>
        <v>0.28509454150240277</v>
      </c>
      <c r="K24" s="28">
        <f>SUM(K20:K23)</f>
        <v>0.625</v>
      </c>
      <c r="L24" s="19">
        <f>J87/J91</f>
        <v>3.3812120935854408E-3</v>
      </c>
      <c r="M24" s="19">
        <f>K87/K91</f>
        <v>9.3749999999999997E-3</v>
      </c>
      <c r="N24" s="19">
        <f t="shared" si="1"/>
        <v>0.99952315906617017</v>
      </c>
      <c r="O24" s="19">
        <f t="shared" si="2"/>
        <v>0.99687500000000007</v>
      </c>
      <c r="P24" s="19">
        <f t="shared" si="0"/>
        <v>2.6481590661701082E-3</v>
      </c>
    </row>
    <row r="25" spans="1:16" x14ac:dyDescent="0.2">
      <c r="A25" t="s">
        <v>53</v>
      </c>
      <c r="B25" s="26">
        <f>a*e^2*m^3</f>
        <v>3.4979227919999978E-3</v>
      </c>
      <c r="C25" s="26">
        <f>a*e^2*m^2*n</f>
        <v>4.0360647599999965E-4</v>
      </c>
      <c r="D25" s="26">
        <f>a*d*e*m*n^2</f>
        <v>4.036064759999996E-4</v>
      </c>
      <c r="E25" s="26">
        <f>a*d^2*m*n^2</f>
        <v>3.4979227919999982E-3</v>
      </c>
      <c r="F25" s="26">
        <f>b*d^2*n^3</f>
        <v>9.7575191999999897E-5</v>
      </c>
      <c r="G25" s="26">
        <f>b*d^2*n^3</f>
        <v>9.7575191999999897E-5</v>
      </c>
      <c r="H25" s="26">
        <f>b*d^2*n^3</f>
        <v>9.7575191999999897E-5</v>
      </c>
      <c r="I25" s="26">
        <f>b*d^2*n^3</f>
        <v>9.7575191999999897E-5</v>
      </c>
      <c r="J25" s="19">
        <f>B9*B25+C9*C25+D9*D25+E9*E25+F9*F25+G9*G25+H9*H25+I9*I25</f>
        <v>0.16464249524864191</v>
      </c>
      <c r="K25" s="28">
        <f>E118*100</f>
        <v>0.3125</v>
      </c>
      <c r="L25" s="19">
        <f>J89/J91</f>
        <v>4.7684093382987283E-4</v>
      </c>
      <c r="M25" s="19">
        <f>K89/K91</f>
        <v>3.1250000000000002E-3</v>
      </c>
      <c r="N25" s="19">
        <f t="shared" si="1"/>
        <v>1</v>
      </c>
      <c r="O25" s="19">
        <f t="shared" si="2"/>
        <v>1</v>
      </c>
      <c r="P25" s="19">
        <f t="shared" si="0"/>
        <v>0</v>
      </c>
    </row>
    <row r="26" spans="1:16" x14ac:dyDescent="0.2">
      <c r="A26" t="s">
        <v>54</v>
      </c>
      <c r="B26" s="26">
        <f>e*a^2*m^2*k</f>
        <v>9.9755575919999971E-3</v>
      </c>
      <c r="C26" s="26">
        <f>a^2*e*m^2*j</f>
        <v>4.1262533675999996E-2</v>
      </c>
      <c r="D26" s="26">
        <f>e*a^2*m*n*j</f>
        <v>4.7610615779999973E-3</v>
      </c>
      <c r="E26" s="26">
        <f>e*a^2*m*n*j</f>
        <v>4.7610615779999973E-3</v>
      </c>
      <c r="F26" s="26">
        <f>d*a^2*n^2*j</f>
        <v>4.7610615779999973E-3</v>
      </c>
      <c r="G26" s="26">
        <f>d*a*b*n^2*j</f>
        <v>1.1510258759999993E-3</v>
      </c>
      <c r="H26" s="26">
        <f>d*b^2*n^2*j</f>
        <v>2.7826999199999976E-4</v>
      </c>
      <c r="I26" s="26">
        <f>d*b^2*n^2*j</f>
        <v>2.7826999199999976E-4</v>
      </c>
      <c r="J26" s="19">
        <f>B9*B26+C9*C26+D9*D26+E9*E26+F9*F26+G9*G26+H9*H26+I9*I26</f>
        <v>0.48227908342477965</v>
      </c>
      <c r="K26" s="28">
        <f>F117*100</f>
        <v>0.3125</v>
      </c>
      <c r="L26" s="19" t="s">
        <v>96</v>
      </c>
      <c r="M26" s="19" t="s">
        <v>96</v>
      </c>
      <c r="N26" s="19"/>
      <c r="O26" s="19"/>
      <c r="P26" s="19"/>
    </row>
    <row r="27" spans="1:16" x14ac:dyDescent="0.2">
      <c r="A27" t="s">
        <v>55</v>
      </c>
      <c r="B27" s="26">
        <f>e^2*a*m^2*k</f>
        <v>9.8659360799999932E-4</v>
      </c>
      <c r="C27" s="26">
        <f>e^2*a*m^2*k</f>
        <v>9.8659360799999932E-4</v>
      </c>
      <c r="D27" s="26">
        <f>e^2*a*j*m^2</f>
        <v>4.0809099239999978E-3</v>
      </c>
      <c r="E27" s="26">
        <f>e^2*a*m*j*n</f>
        <v>4.7087422199999947E-4</v>
      </c>
      <c r="F27" s="26">
        <f>d*a*e*n^2*j</f>
        <v>4.7087422199999952E-4</v>
      </c>
      <c r="G27" s="26">
        <f>d^2*a*n^2*j</f>
        <v>4.0809099239999969E-3</v>
      </c>
      <c r="H27" s="26">
        <f>d^2*b*n^2*j</f>
        <v>9.8659360799999932E-4</v>
      </c>
      <c r="I27" s="26">
        <f>d^2*b*n^2*j</f>
        <v>9.8659360799999932E-4</v>
      </c>
      <c r="J27" s="19">
        <f>B9*B27+C9*C27+D9*D27+E9*E27+F9*F27+G9*G27+H9*H27+I9*I27</f>
        <v>0.15043844585427066</v>
      </c>
      <c r="K27" s="28">
        <f>G116*100</f>
        <v>0.3125</v>
      </c>
      <c r="L27" s="19">
        <f>SUM(L10:L24)</f>
        <v>0.99952315906617017</v>
      </c>
      <c r="M27" s="19">
        <f>SUM(M11:M25)</f>
        <v>1</v>
      </c>
      <c r="N27" s="19" t="s">
        <v>88</v>
      </c>
      <c r="O27" s="19" t="s">
        <v>106</v>
      </c>
      <c r="P27" s="26">
        <f>MAX(P11:P26)</f>
        <v>4.6345033787975498E-2</v>
      </c>
    </row>
    <row r="28" spans="1:16" x14ac:dyDescent="0.2">
      <c r="A28" t="s">
        <v>56</v>
      </c>
      <c r="B28" s="26">
        <f>e^2*a*m*k^2</f>
        <v>2.7826999199999976E-4</v>
      </c>
      <c r="C28" s="26">
        <f>e^2*a*m*k^2</f>
        <v>2.7826999199999976E-4</v>
      </c>
      <c r="D28" s="26">
        <f>e^2*a*m*j*k</f>
        <v>1.1510258759999991E-3</v>
      </c>
      <c r="E28" s="26">
        <f>e^2*a*m*j^2</f>
        <v>4.7610615779999964E-3</v>
      </c>
      <c r="F28" s="26">
        <f>d*a*e*n*j^2</f>
        <v>4.7610615779999973E-3</v>
      </c>
      <c r="G28" s="26">
        <f>d*a*e*n*j^2</f>
        <v>4.7610615779999973E-3</v>
      </c>
      <c r="H28" s="26">
        <f>d^2*a*n*j^2</f>
        <v>4.1262533675999989E-2</v>
      </c>
      <c r="I28" s="26">
        <f>d^2*b*n*j^2</f>
        <v>9.9755575919999971E-3</v>
      </c>
      <c r="J28" s="26">
        <f>B9*B28+C9*C28+D9*D28+E9*E28+F9*F28+G9*G28+H9*H28+I9*I28</f>
        <v>0.38379540749095281</v>
      </c>
      <c r="K28" s="28">
        <f>H115*100</f>
        <v>0.3125</v>
      </c>
    </row>
    <row r="29" spans="1:16" x14ac:dyDescent="0.2">
      <c r="A29" t="s">
        <v>57</v>
      </c>
      <c r="B29" s="26">
        <f>e^3*k*m^2</f>
        <v>9.7575191999999897E-5</v>
      </c>
      <c r="C29" s="26">
        <f>e^3*k*m^2</f>
        <v>9.7575191999999897E-5</v>
      </c>
      <c r="D29" s="26">
        <f>e^3*k*m^2</f>
        <v>9.7575191999999897E-5</v>
      </c>
      <c r="E29" s="26">
        <f>e^3*k*m^2</f>
        <v>9.7575191999999897E-5</v>
      </c>
      <c r="F29" s="26">
        <f>d*e^2*j*m^2</f>
        <v>3.4979227919999978E-3</v>
      </c>
      <c r="G29" s="26">
        <f>d*e^2*m*j*n</f>
        <v>4.0360647599999955E-4</v>
      </c>
      <c r="H29" s="26">
        <f>d^2*e*j*n^2</f>
        <v>4.0360647599999965E-4</v>
      </c>
      <c r="I29" s="26">
        <f>d^3*j*n^2</f>
        <v>3.4979227919999982E-3</v>
      </c>
      <c r="J29" s="26">
        <f>B9*B29+C9*C29+D9*D29+E9*E29+F9*F29+G9*G29+H9*H29+I9*I29</f>
        <v>0.10491750253084339</v>
      </c>
      <c r="K29" s="28">
        <f>I114*100</f>
        <v>0</v>
      </c>
    </row>
    <row r="30" spans="1:16" x14ac:dyDescent="0.2">
      <c r="A30" t="s">
        <v>13</v>
      </c>
      <c r="B30" s="26"/>
      <c r="C30" s="26"/>
      <c r="D30" s="26"/>
      <c r="E30" s="26"/>
      <c r="F30" s="26"/>
      <c r="G30" s="26"/>
      <c r="H30" s="26"/>
      <c r="I30" s="26"/>
      <c r="J30" s="26">
        <f>SUM(J25:J29)</f>
        <v>1.2860729345494883</v>
      </c>
      <c r="K30" s="28">
        <f>SUM(K25:K29)</f>
        <v>1.25</v>
      </c>
      <c r="L30" t="s">
        <v>114</v>
      </c>
      <c r="M30" t="s">
        <v>115</v>
      </c>
      <c r="N30" t="s">
        <v>91</v>
      </c>
      <c r="O30" t="s">
        <v>92</v>
      </c>
    </row>
    <row r="31" spans="1:16" x14ac:dyDescent="0.2">
      <c r="A31" t="s">
        <v>58</v>
      </c>
      <c r="B31" s="26">
        <f>a^2*e*m^3</f>
        <v>3.5367886007999998E-2</v>
      </c>
      <c r="C31" s="26">
        <f>a^2*e*m^2*n</f>
        <v>4.0809099239999978E-3</v>
      </c>
      <c r="D31" s="26">
        <f>a^2*d*m*n^2</f>
        <v>4.0809099239999978E-3</v>
      </c>
      <c r="E31" s="26">
        <f>a*b*d*m*n^2</f>
        <v>9.8659360799999932E-4</v>
      </c>
      <c r="F31" s="26">
        <f>b^2*d*n^3</f>
        <v>2.7521207999999968E-5</v>
      </c>
      <c r="G31" s="26">
        <f>b^2*d*n^3</f>
        <v>2.7521207999999968E-5</v>
      </c>
      <c r="H31" s="26">
        <f>b^2*d*n^3</f>
        <v>2.7521207999999968E-5</v>
      </c>
      <c r="I31" s="26">
        <f>b^2*d*n^3</f>
        <v>2.7521207999999968E-5</v>
      </c>
      <c r="J31" s="26">
        <f>B9*B31+C9*C31+D9*D31+E9*E31+F9*F31+G9*G31+H9*H31+I9*I31</f>
        <v>0.15149304309557876</v>
      </c>
      <c r="K31" s="28">
        <f>D118*100</f>
        <v>0.625</v>
      </c>
      <c r="L31" t="s">
        <v>111</v>
      </c>
      <c r="M31" t="s">
        <v>111</v>
      </c>
      <c r="N31" t="s">
        <v>93</v>
      </c>
      <c r="O31" t="s">
        <v>93</v>
      </c>
    </row>
    <row r="32" spans="1:16" x14ac:dyDescent="0.2">
      <c r="A32" t="s">
        <v>59</v>
      </c>
      <c r="B32" s="26">
        <f>a*e^2*m^2*k</f>
        <v>9.8659360799999932E-4</v>
      </c>
      <c r="C32" s="26">
        <f>a*e^2*m^2*j</f>
        <v>4.0809099239999978E-3</v>
      </c>
      <c r="D32" s="26">
        <f>a*d*e*m*n*j</f>
        <v>4.0809099239999969E-3</v>
      </c>
      <c r="E32" s="26">
        <f>a*d^2*m*n*j</f>
        <v>3.5367886007999991E-2</v>
      </c>
      <c r="F32" s="26">
        <f>b*d^2*n^2*j</f>
        <v>9.8659360799999932E-4</v>
      </c>
      <c r="G32" s="26">
        <f>b*d^2*n^2*j</f>
        <v>9.8659360799999932E-4</v>
      </c>
      <c r="H32" s="26">
        <f>b*d^2*n^2*j</f>
        <v>9.8659360799999932E-4</v>
      </c>
      <c r="I32" s="26">
        <f>b*d^2*n^2*j</f>
        <v>9.8659360799999932E-4</v>
      </c>
      <c r="J32" s="26">
        <f>B9*B32+C9*C32+D9*D32+E9*E32+F9*F32+G9*G32+H9*H32+I9*I32</f>
        <v>1.664718220475977</v>
      </c>
      <c r="K32" s="28">
        <f>E117*100</f>
        <v>1.25</v>
      </c>
    </row>
    <row r="33" spans="1:16" x14ac:dyDescent="0.2">
      <c r="A33" t="s">
        <v>60</v>
      </c>
      <c r="B33" s="26">
        <f>e*a^2*m^2*k</f>
        <v>9.9755575919999971E-3</v>
      </c>
      <c r="C33" s="26">
        <f>a^2*e*m^2*k</f>
        <v>9.9755575919999971E-3</v>
      </c>
      <c r="D33" s="26">
        <f>e*a^2*j*m^2</f>
        <v>4.1262533675999989E-2</v>
      </c>
      <c r="E33" s="26">
        <f>e*a^2*m*j*n</f>
        <v>4.7610615779999973E-3</v>
      </c>
      <c r="F33" s="26">
        <f>d*a^2*n^2*j</f>
        <v>4.7610615779999973E-3</v>
      </c>
      <c r="G33" s="26">
        <f>d*a*b*n^2*j</f>
        <v>1.1510258759999993E-3</v>
      </c>
      <c r="H33" s="26">
        <f>d*b^2*n^2*j</f>
        <v>2.7826999199999976E-4</v>
      </c>
      <c r="I33" s="26">
        <f>d*b^2*n^2*j</f>
        <v>2.7826999199999976E-4</v>
      </c>
      <c r="J33" s="26">
        <f>B9*B33+C9*C33+D9*D33+E9*E33+F9*F33+G9*G33+H9*H33+I9*I33</f>
        <v>1.4198404635815782</v>
      </c>
      <c r="K33" s="29">
        <f>F116*100</f>
        <v>1.25</v>
      </c>
      <c r="L33">
        <f>J46/SUM(J46:J53)</f>
        <v>6.1222700221948709E-4</v>
      </c>
      <c r="M33">
        <f>K46/SUM(K46:K53)</f>
        <v>3.3613445378151259E-2</v>
      </c>
      <c r="N33">
        <f>L33</f>
        <v>6.1222700221948709E-4</v>
      </c>
      <c r="O33">
        <f>M33</f>
        <v>3.3613445378151259E-2</v>
      </c>
      <c r="P33">
        <f t="shared" ref="P33:P40" si="3">ABS(N33-O33)</f>
        <v>3.3001218375931771E-2</v>
      </c>
    </row>
    <row r="34" spans="1:16" x14ac:dyDescent="0.2">
      <c r="A34" t="s">
        <v>61</v>
      </c>
      <c r="B34" s="26">
        <f>e^2*a*m*k^2</f>
        <v>2.7826999199999976E-4</v>
      </c>
      <c r="C34" s="26">
        <f>e^2*a*m*k^2</f>
        <v>2.7826999199999976E-4</v>
      </c>
      <c r="D34" s="26">
        <f>e^2*a*m*j*k</f>
        <v>1.1510258759999991E-3</v>
      </c>
      <c r="E34" s="26">
        <f>e^2*a*m*j^2</f>
        <v>4.7610615779999964E-3</v>
      </c>
      <c r="F34" s="26">
        <f>d*a*e*n*j^2</f>
        <v>4.7610615779999973E-3</v>
      </c>
      <c r="G34" s="26">
        <f>d^2*a*n*j^2</f>
        <v>4.1262533675999989E-2</v>
      </c>
      <c r="H34" s="26">
        <f>d^2*b*n*j^2</f>
        <v>9.9755575919999971E-3</v>
      </c>
      <c r="I34" s="26">
        <f>d^2*b*n*j^2</f>
        <v>9.9755575919999971E-3</v>
      </c>
      <c r="J34" s="26">
        <f>B9*B34+C9*C34+D9*D34+E9*E34+F9*F34+G9*G34+H9*H34+I9*I34</f>
        <v>0.47191530000605114</v>
      </c>
      <c r="K34" s="28">
        <f>G115*100</f>
        <v>1.25</v>
      </c>
      <c r="L34">
        <f>J47/SUM(J46:J53)</f>
        <v>2.1944123839617441E-2</v>
      </c>
      <c r="M34">
        <f>K47/SUM(K46:K53)</f>
        <v>5.0420168067226892E-2</v>
      </c>
      <c r="N34">
        <f t="shared" ref="N34:O40" si="4">N33+L34</f>
        <v>2.2556350841836929E-2</v>
      </c>
      <c r="O34">
        <f t="shared" si="4"/>
        <v>8.4033613445378158E-2</v>
      </c>
      <c r="P34">
        <f t="shared" si="3"/>
        <v>6.1477262603541229E-2</v>
      </c>
    </row>
    <row r="35" spans="1:16" x14ac:dyDescent="0.2">
      <c r="A35" t="s">
        <v>62</v>
      </c>
      <c r="B35" s="26">
        <f>e^2*a*k*m^2</f>
        <v>9.8659360799999932E-4</v>
      </c>
      <c r="C35" s="26">
        <f>e^2*a*k*m^2</f>
        <v>9.8659360799999932E-4</v>
      </c>
      <c r="D35" s="26">
        <f>e^2*a*k*m^2</f>
        <v>9.8659360799999932E-4</v>
      </c>
      <c r="E35" s="26">
        <f>e^2*a*k*m^2</f>
        <v>9.8659360799999932E-4</v>
      </c>
      <c r="F35" s="26">
        <f>d*a*e*j*m^2</f>
        <v>3.5367886007999991E-2</v>
      </c>
      <c r="G35" s="26">
        <f>d*a*e*m*j*n</f>
        <v>4.0809099239999969E-3</v>
      </c>
      <c r="H35" s="26">
        <f>d^2*a*j*n^2</f>
        <v>4.0809099239999969E-3</v>
      </c>
      <c r="I35" s="26">
        <f>d^2*b*j*n^2</f>
        <v>9.8659360799999932E-4</v>
      </c>
      <c r="J35" s="26">
        <f>B9*B35+C9*C35+D9*D35+E9*E35+F9*F35+G9*G35+H9*H35+I9*I35</f>
        <v>1.0608299322816501</v>
      </c>
      <c r="K35" s="28">
        <f>H114*100</f>
        <v>0.625</v>
      </c>
      <c r="L35">
        <f>J48/SUM(J46:J53)</f>
        <v>0.25130490470506034</v>
      </c>
      <c r="M35">
        <f>K48/SUM(K46:K53)</f>
        <v>0.18487394957983197</v>
      </c>
      <c r="N35">
        <f t="shared" si="4"/>
        <v>0.27386125554689728</v>
      </c>
      <c r="O35">
        <f t="shared" si="4"/>
        <v>0.26890756302521013</v>
      </c>
      <c r="P35">
        <f t="shared" si="3"/>
        <v>4.9536925216871475E-3</v>
      </c>
    </row>
    <row r="36" spans="1:16" x14ac:dyDescent="0.2">
      <c r="A36" t="s">
        <v>63</v>
      </c>
      <c r="B36" s="26">
        <f>e^3*k^2*m</f>
        <v>2.7521207999999971E-5</v>
      </c>
      <c r="C36" s="26">
        <f>e^3*k^2*m</f>
        <v>2.7521207999999971E-5</v>
      </c>
      <c r="D36" s="26">
        <f>e^3*k^2*m</f>
        <v>2.7521207999999971E-5</v>
      </c>
      <c r="E36" s="26">
        <f>e^3*k^2*m</f>
        <v>2.7521207999999971E-5</v>
      </c>
      <c r="F36" s="26">
        <f>d*e^2*j*k*m</f>
        <v>9.8659360799999911E-4</v>
      </c>
      <c r="G36" s="26">
        <f>d*e^2*m*j^2</f>
        <v>4.0809099239999969E-3</v>
      </c>
      <c r="H36" s="26">
        <f>d^2*e*j^2*n</f>
        <v>4.0809099239999978E-3</v>
      </c>
      <c r="I36" s="26">
        <f>d^3*j^2*n</f>
        <v>3.5367886007999991E-2</v>
      </c>
      <c r="J36" s="26">
        <f>B9*B36+C9*C36+D9*D36+E9*E36+F9*F36+G9*G36+H9*H36+I9*I36</f>
        <v>3.9911175026549638E-2</v>
      </c>
      <c r="K36" s="28">
        <f>I113*100</f>
        <v>0.9375</v>
      </c>
      <c r="L36">
        <f>J49/SUM(J46:J53)</f>
        <v>0.41195599244341646</v>
      </c>
      <c r="M36">
        <f>K49/SUM(K46:K53)</f>
        <v>0.46218487394957986</v>
      </c>
      <c r="N36">
        <f t="shared" si="4"/>
        <v>0.68581724799031374</v>
      </c>
      <c r="O36">
        <f t="shared" si="4"/>
        <v>0.73109243697478998</v>
      </c>
      <c r="P36">
        <f t="shared" si="3"/>
        <v>4.5275188984476245E-2</v>
      </c>
    </row>
    <row r="37" spans="1:16" x14ac:dyDescent="0.2">
      <c r="A37" t="s">
        <v>13</v>
      </c>
      <c r="B37" s="26"/>
      <c r="C37" s="26"/>
      <c r="D37" s="26"/>
      <c r="E37" s="26"/>
      <c r="F37" s="26"/>
      <c r="G37" s="26"/>
      <c r="H37" s="26"/>
      <c r="I37" s="26"/>
      <c r="J37" s="26">
        <f>SUM(J31:J36)</f>
        <v>4.808708134467385</v>
      </c>
      <c r="K37" s="28">
        <f>SUM(K31:K36)</f>
        <v>5.9375</v>
      </c>
      <c r="L37">
        <f>J50/SUM(J46:J53)</f>
        <v>0.27405868393489741</v>
      </c>
      <c r="M37">
        <f>K50/SUM(K46:K53)</f>
        <v>0.16806722689075632</v>
      </c>
      <c r="N37">
        <f t="shared" si="4"/>
        <v>0.95987593192521115</v>
      </c>
      <c r="O37">
        <f t="shared" si="4"/>
        <v>0.89915966386554635</v>
      </c>
      <c r="P37">
        <f t="shared" si="3"/>
        <v>6.0716268059664791E-2</v>
      </c>
    </row>
    <row r="38" spans="1:16" x14ac:dyDescent="0.2">
      <c r="A38" t="s">
        <v>64</v>
      </c>
      <c r="B38" s="26">
        <f>a^2*e*m^3</f>
        <v>3.5367886007999998E-2</v>
      </c>
      <c r="C38" s="26">
        <f>a^2*d*m^2*n</f>
        <v>3.5367886007999998E-2</v>
      </c>
      <c r="D38" s="26">
        <f>a*b*d*m*n^2</f>
        <v>9.8659360799999932E-4</v>
      </c>
      <c r="E38" s="26">
        <f>a*b*d*m*n^2</f>
        <v>9.8659360799999932E-4</v>
      </c>
      <c r="F38" s="26">
        <f>b^2*d*n^3</f>
        <v>2.7521207999999968E-5</v>
      </c>
      <c r="G38" s="26">
        <f>b^2*d*n^3</f>
        <v>2.7521207999999968E-5</v>
      </c>
      <c r="H38" s="26">
        <f>b^2*d*n^3</f>
        <v>2.7521207999999968E-5</v>
      </c>
      <c r="I38" s="26">
        <f>b^2*d*n^3</f>
        <v>2.7521207999999968E-5</v>
      </c>
      <c r="J38" s="26">
        <f>B9*B38+C9*C38+D9*D38+E9*E38+F9*F38+G9*G38+H9*H38+I9*I38</f>
        <v>8.4289912453054353E-2</v>
      </c>
      <c r="K38" s="28">
        <f>C118*100</f>
        <v>0</v>
      </c>
      <c r="L38">
        <f>J51/SUM(J46:J53)</f>
        <v>3.0673688631248263E-2</v>
      </c>
      <c r="M38">
        <f>K51/SUM(K46:K53)</f>
        <v>5.8823529411764705E-2</v>
      </c>
      <c r="N38">
        <f t="shared" si="4"/>
        <v>0.99054962055645945</v>
      </c>
      <c r="O38">
        <f t="shared" si="4"/>
        <v>0.95798319327731107</v>
      </c>
      <c r="P38">
        <f t="shared" si="3"/>
        <v>3.256642727914838E-2</v>
      </c>
    </row>
    <row r="39" spans="1:16" x14ac:dyDescent="0.2">
      <c r="A39" t="s">
        <v>65</v>
      </c>
      <c r="B39" s="26">
        <f>a^2*e*m^2*k</f>
        <v>9.9755575919999971E-3</v>
      </c>
      <c r="C39" s="26">
        <f>a^2*e*m^2*j</f>
        <v>4.1262533675999996E-2</v>
      </c>
      <c r="D39" s="26">
        <f>a^2*d*m*n*j</f>
        <v>4.1262533676000003E-2</v>
      </c>
      <c r="E39" s="26">
        <f>a*b*d*m*n*j</f>
        <v>9.9755575919999971E-3</v>
      </c>
      <c r="F39" s="26">
        <f>b^2*d*n^2*j</f>
        <v>2.7826999199999976E-4</v>
      </c>
      <c r="G39" s="26">
        <f>b^2*d*n^2*j</f>
        <v>2.7826999199999976E-4</v>
      </c>
      <c r="H39" s="26">
        <f>b^2*d*n^2*j</f>
        <v>2.7826999199999976E-4</v>
      </c>
      <c r="I39" s="26">
        <f>b^2*d*n^2*j</f>
        <v>2.7826999199999976E-4</v>
      </c>
      <c r="J39" s="26">
        <f>B9*B39+C9*C39+D9*D39+E9*E39+F9*F39+G9*G39+H9*H39+I9*I39</f>
        <v>1.5317595272975333</v>
      </c>
      <c r="K39" s="28">
        <f>D117*100</f>
        <v>1.875</v>
      </c>
      <c r="L39">
        <f>J52/SUM(J46:J53)</f>
        <v>9.1932384067819305E-3</v>
      </c>
      <c r="M39">
        <f>K52/SUM(K46:K53)</f>
        <v>1.680672268907563E-2</v>
      </c>
      <c r="N39">
        <f t="shared" si="4"/>
        <v>0.99974285896324133</v>
      </c>
      <c r="O39">
        <f t="shared" si="4"/>
        <v>0.97478991596638676</v>
      </c>
      <c r="P39">
        <f t="shared" si="3"/>
        <v>2.4952942996854577E-2</v>
      </c>
    </row>
    <row r="40" spans="1:16" x14ac:dyDescent="0.2">
      <c r="A40" t="s">
        <v>66</v>
      </c>
      <c r="B40" s="26">
        <f>a*e^2*m^2*k</f>
        <v>9.8659360799999932E-4</v>
      </c>
      <c r="C40" s="26">
        <f>a*e^2*m^2*k</f>
        <v>9.8659360799999932E-4</v>
      </c>
      <c r="D40" s="26">
        <f>a*d*e*j*m^2</f>
        <v>3.5367886007999991E-2</v>
      </c>
      <c r="E40" s="26">
        <f>a*d^2*m*j*n</f>
        <v>3.5367886007999991E-2</v>
      </c>
      <c r="F40" s="26">
        <f>b*d^2*n^2*j</f>
        <v>9.8659360799999932E-4</v>
      </c>
      <c r="G40" s="26">
        <f>b*d^2*n^2*j</f>
        <v>9.8659360799999932E-4</v>
      </c>
      <c r="H40" s="26">
        <f>b*d^2*n^2*j</f>
        <v>9.8659360799999932E-4</v>
      </c>
      <c r="I40" s="26">
        <f>b*d^2*n^2*j</f>
        <v>9.8659360799999932E-4</v>
      </c>
      <c r="J40" s="26">
        <f>B9*B40+C9*C40+D9*D40+E9*E40+F9*F40+G9*G40+H9*H40+I9*I40</f>
        <v>2.4785127410984424</v>
      </c>
      <c r="K40" s="28">
        <f>E116*100</f>
        <v>5.3125</v>
      </c>
      <c r="L40">
        <f>J53/SUM(J46:J53)</f>
        <v>2.5714103675837831E-4</v>
      </c>
      <c r="M40">
        <f>K53/SUM(K46:K53)</f>
        <v>2.5210084033613446E-2</v>
      </c>
      <c r="N40">
        <f t="shared" si="4"/>
        <v>0.99999999999999967</v>
      </c>
      <c r="O40">
        <f t="shared" si="4"/>
        <v>1.0000000000000002</v>
      </c>
      <c r="P40">
        <f t="shared" si="3"/>
        <v>5.5511151231257827E-16</v>
      </c>
    </row>
    <row r="41" spans="1:16" x14ac:dyDescent="0.2">
      <c r="A41" t="s">
        <v>67</v>
      </c>
      <c r="B41" s="26">
        <f>e*a^2*m*k^2</f>
        <v>2.8136188079999989E-3</v>
      </c>
      <c r="C41" s="26">
        <f>a^2*e*m*k^2</f>
        <v>2.8136188079999989E-3</v>
      </c>
      <c r="D41" s="26">
        <f>e*a^2*m*j*k</f>
        <v>1.1638150523999996E-2</v>
      </c>
      <c r="E41" s="26">
        <f>e*a^2*m*j^2</f>
        <v>4.8139622621999993E-2</v>
      </c>
      <c r="F41" s="26">
        <f>d*a^2*n*j^2</f>
        <v>4.8139622621999993E-2</v>
      </c>
      <c r="G41" s="26">
        <f>d*a*b*n*j^2</f>
        <v>1.1638150523999996E-2</v>
      </c>
      <c r="H41" s="26">
        <f>d*b^2*n*j^2</f>
        <v>2.8136188079999989E-3</v>
      </c>
      <c r="I41" s="26">
        <f>d*b^2*n*j^2</f>
        <v>2.8136188079999989E-3</v>
      </c>
      <c r="J41" s="26">
        <f>B9*B41+C9*C41+D9*D41+E9*E41+F9*F41+G9*G41+H9*H41+I9*I41</f>
        <v>3.7477432130747319</v>
      </c>
      <c r="K41" s="28">
        <f>F115*100</f>
        <v>3.125</v>
      </c>
      <c r="L41" t="s">
        <v>96</v>
      </c>
      <c r="M41" t="s">
        <v>96</v>
      </c>
    </row>
    <row r="42" spans="1:16" x14ac:dyDescent="0.2">
      <c r="A42" t="s">
        <v>68</v>
      </c>
      <c r="B42" s="26">
        <f>e^2*a*k*m^2</f>
        <v>9.8659360799999932E-4</v>
      </c>
      <c r="C42" s="26">
        <f>e^2*a*k*m^2</f>
        <v>9.8659360799999932E-4</v>
      </c>
      <c r="D42" s="26">
        <f>e^2*a*k*m^2</f>
        <v>9.8659360799999932E-4</v>
      </c>
      <c r="E42" s="26">
        <f>e^2*a*k*m^2</f>
        <v>9.8659360799999932E-4</v>
      </c>
      <c r="F42" s="26">
        <f>d*a*e*j*m^2</f>
        <v>3.5367886007999991E-2</v>
      </c>
      <c r="G42" s="26">
        <f>d^2*a*m*j*n</f>
        <v>3.5367886007999991E-2</v>
      </c>
      <c r="H42" s="26">
        <f>d^2*b*j*n^2</f>
        <v>9.8659360799999932E-4</v>
      </c>
      <c r="I42" s="26">
        <f>d^2*b*j*n^2</f>
        <v>9.8659360799999932E-4</v>
      </c>
      <c r="J42" s="26">
        <f>B9*B42+C9*C42+D9*D42+E9*E42+F9*F42+G9*G42+H9*H42+I9*I42</f>
        <v>1.1387420500645311</v>
      </c>
      <c r="K42" s="28">
        <f>G114*100</f>
        <v>0.9375</v>
      </c>
      <c r="L42">
        <f>SUM(L33:L40)</f>
        <v>0.99999999999999967</v>
      </c>
      <c r="M42">
        <f>SUM(M33:M40)</f>
        <v>1.0000000000000002</v>
      </c>
      <c r="O42" t="s">
        <v>112</v>
      </c>
      <c r="P42">
        <f>MAX(P33:P40)</f>
        <v>6.1477262603541229E-2</v>
      </c>
    </row>
    <row r="43" spans="1:16" x14ac:dyDescent="0.2">
      <c r="A43" t="s">
        <v>69</v>
      </c>
      <c r="B43" s="26">
        <f>e^2*a*k^2*m</f>
        <v>2.7826999199999976E-4</v>
      </c>
      <c r="C43" s="26">
        <f>e^2*a*k^2*m</f>
        <v>2.7826999199999976E-4</v>
      </c>
      <c r="D43" s="26">
        <f>e^2*a*k^2*m</f>
        <v>2.7826999199999976E-4</v>
      </c>
      <c r="E43" s="26">
        <f>e^2*a*k^2*m</f>
        <v>2.7826999199999976E-4</v>
      </c>
      <c r="F43" s="26">
        <f>d*a*e*j*k*m</f>
        <v>9.9755575919999954E-3</v>
      </c>
      <c r="G43" s="26">
        <f>d*a*e*m*j^2</f>
        <v>4.1262533675999989E-2</v>
      </c>
      <c r="H43" s="26">
        <f>d^2*a*j^2*n</f>
        <v>4.1262533675999989E-2</v>
      </c>
      <c r="I43" s="26">
        <f>d^2*b*j^2*n</f>
        <v>9.9755575919999971E-3</v>
      </c>
      <c r="J43" s="26">
        <f>B9*B43+C9*C43+D9*D43+E9*E43+F9*F43+G9*G43+H9*H43+I9*I43</f>
        <v>0.40352010404322397</v>
      </c>
      <c r="K43" s="28">
        <f>H113*100</f>
        <v>0.625</v>
      </c>
    </row>
    <row r="44" spans="1:16" x14ac:dyDescent="0.2">
      <c r="A44" t="s">
        <v>70</v>
      </c>
      <c r="B44" s="26">
        <f>e^3*k^2*m</f>
        <v>2.7521207999999971E-5</v>
      </c>
      <c r="C44" s="26">
        <f>e^3*k^2*m</f>
        <v>2.7521207999999971E-5</v>
      </c>
      <c r="D44" s="26">
        <f>e^3*k^2*m</f>
        <v>2.7521207999999971E-5</v>
      </c>
      <c r="E44" s="26">
        <f>e^3*k^2*m</f>
        <v>2.7521207999999971E-5</v>
      </c>
      <c r="F44" s="26">
        <f>d*e^2*j*k*m</f>
        <v>9.8659360799999911E-4</v>
      </c>
      <c r="G44" s="26">
        <f>d*e^2*j*k*m</f>
        <v>9.8659360799999911E-4</v>
      </c>
      <c r="H44" s="26">
        <f>d^2*e*j^2*m</f>
        <v>3.5367886007999998E-2</v>
      </c>
      <c r="I44" s="26">
        <f>d^3*j^2*n</f>
        <v>3.5367886007999991E-2</v>
      </c>
      <c r="J44" s="26">
        <f>B9*B44+C9*C44+D9*D44+E9*E44+F9*F44+G9*G44+H9*H44+I9*I44</f>
        <v>3.531473958397105E-2</v>
      </c>
      <c r="K44" s="28">
        <f>I112*100</f>
        <v>0.3125</v>
      </c>
    </row>
    <row r="45" spans="1:16" x14ac:dyDescent="0.2">
      <c r="A45" t="s">
        <v>13</v>
      </c>
      <c r="B45" s="26"/>
      <c r="C45" s="26"/>
      <c r="D45" s="26"/>
      <c r="E45" s="26"/>
      <c r="F45" s="26"/>
      <c r="G45" s="26"/>
      <c r="H45" s="26"/>
      <c r="I45" s="26"/>
      <c r="J45" s="26">
        <f>SUM(J38:J44)</f>
        <v>9.4198822876154882</v>
      </c>
      <c r="K45" s="28">
        <f>SUM(K38:K44)</f>
        <v>12.1875</v>
      </c>
    </row>
    <row r="46" spans="1:16" x14ac:dyDescent="0.2">
      <c r="A46" s="1" t="s">
        <v>5</v>
      </c>
      <c r="B46" s="26">
        <f>a^3*m^3</f>
        <v>0.3576086251920001</v>
      </c>
      <c r="C46" s="26">
        <f>a^2*b*m^2*n</f>
        <v>9.9755575919999971E-3</v>
      </c>
      <c r="D46" s="26">
        <f>a*b^2*m*n^2</f>
        <v>2.7826999199999976E-4</v>
      </c>
      <c r="E46" s="26">
        <f>a*b^2*m*n^2</f>
        <v>2.7826999199999976E-4</v>
      </c>
      <c r="F46" s="26">
        <f>b^3*n^3</f>
        <v>7.76239199999999E-6</v>
      </c>
      <c r="G46" s="26">
        <f>b^3*n^3</f>
        <v>7.76239199999999E-6</v>
      </c>
      <c r="H46" s="26">
        <f>b^3*n^3</f>
        <v>7.76239199999999E-6</v>
      </c>
      <c r="I46" s="26">
        <f>b^3*n^3</f>
        <v>7.76239199999999E-6</v>
      </c>
      <c r="J46" s="26">
        <f>B9*B46+C9*C46+D9*D46+E9*E46+F9*F46+G9*G46+H9*H46+I9*I46</f>
        <v>2.3777541873582109E-2</v>
      </c>
      <c r="K46" s="28">
        <f>B118*100</f>
        <v>1.25</v>
      </c>
      <c r="M46" s="17"/>
      <c r="N46" s="17">
        <f>'[1]Version 6 (Gains, AA)'!N28</f>
        <v>0</v>
      </c>
      <c r="O46" s="17">
        <f>'[1]Version 6 (Gains, AA)'!O28</f>
        <v>0</v>
      </c>
      <c r="P46" s="17">
        <f>'[1]Version 6 (Gains, AA)'!P28</f>
        <v>0</v>
      </c>
    </row>
    <row r="47" spans="1:16" x14ac:dyDescent="0.2">
      <c r="A47" t="s">
        <v>6</v>
      </c>
      <c r="B47" s="26">
        <f>a^2*e*m^2*k</f>
        <v>9.9755575919999971E-3</v>
      </c>
      <c r="C47" s="26">
        <f>a^2*d*m^2*j</f>
        <v>0.3576086251920001</v>
      </c>
      <c r="D47" s="26">
        <f>a*b*d*m*n*j</f>
        <v>9.9755575919999971E-3</v>
      </c>
      <c r="E47" s="26">
        <f>a*d*b*m*j*n</f>
        <v>9.9755575919999971E-3</v>
      </c>
      <c r="F47" s="26">
        <f t="shared" ref="F47:I48" si="5">b^2*d*n^2*j</f>
        <v>2.7826999199999976E-4</v>
      </c>
      <c r="G47" s="26">
        <f t="shared" si="5"/>
        <v>2.7826999199999976E-4</v>
      </c>
      <c r="H47" s="26">
        <f t="shared" si="5"/>
        <v>2.7826999199999976E-4</v>
      </c>
      <c r="I47" s="26">
        <f t="shared" si="5"/>
        <v>2.7826999199999976E-4</v>
      </c>
      <c r="J47" s="26">
        <f>B9*B47+C9*C47+D9*D47+E9*E47+F9*F47+G9*G47+H9*H47+I9*I47</f>
        <v>0.8522612063564533</v>
      </c>
      <c r="K47" s="28">
        <f>C117*100</f>
        <v>1.875</v>
      </c>
      <c r="M47" s="17" t="str">
        <f>'[1]Version 6 (Gains, AA)'!M29</f>
        <v>r1 compared to r1</v>
      </c>
      <c r="N47" s="17" t="s">
        <v>126</v>
      </c>
      <c r="O47" s="27" t="s">
        <v>142</v>
      </c>
      <c r="P47" s="17" t="str">
        <f>'[1]Version 6 (Gains, AA)'!P29</f>
        <v xml:space="preserve">difference </v>
      </c>
    </row>
    <row r="48" spans="1:16" x14ac:dyDescent="0.2">
      <c r="A48" t="s">
        <v>7</v>
      </c>
      <c r="B48" s="26">
        <f>a^2*e*m^2*k</f>
        <v>9.9755575919999971E-3</v>
      </c>
      <c r="C48" s="26">
        <f>a^2*e*m^2*k</f>
        <v>9.9755575919999971E-3</v>
      </c>
      <c r="D48" s="26">
        <f>a^2*d*j*m^2</f>
        <v>0.3576086251920001</v>
      </c>
      <c r="E48" s="26">
        <f>a*d*b*m*j*n</f>
        <v>9.9755575919999971E-3</v>
      </c>
      <c r="F48" s="26">
        <f t="shared" si="5"/>
        <v>2.7826999199999976E-4</v>
      </c>
      <c r="G48" s="26">
        <f t="shared" si="5"/>
        <v>2.7826999199999976E-4</v>
      </c>
      <c r="H48" s="26">
        <f t="shared" si="5"/>
        <v>2.7826999199999976E-4</v>
      </c>
      <c r="I48" s="26">
        <f t="shared" si="5"/>
        <v>2.7826999199999976E-4</v>
      </c>
      <c r="J48" s="26">
        <f>B9*B48+C9*C48+D9*D48+E9*E48+F9*F48+G9*G48+H9*H48+I9*I48</f>
        <v>9.7601263469246842</v>
      </c>
      <c r="K48" s="28">
        <f>D116*100</f>
        <v>6.8750000000000009</v>
      </c>
      <c r="M48" s="17" t="str">
        <f>'[1]Version 6 (Gains, AA)'!M30</f>
        <v>c1</v>
      </c>
      <c r="N48" s="19">
        <f>B105</f>
        <v>3.449998860600819E-2</v>
      </c>
      <c r="O48" s="19">
        <f>B119</f>
        <v>2.1875000000000002E-2</v>
      </c>
      <c r="P48" s="19">
        <f>ABS(N48-O48)</f>
        <v>1.2624988606008188E-2</v>
      </c>
    </row>
    <row r="49" spans="1:16" x14ac:dyDescent="0.2">
      <c r="A49" t="s">
        <v>8</v>
      </c>
      <c r="B49" s="26">
        <f>a*e^2*m*k^2</f>
        <v>2.7826999199999976E-4</v>
      </c>
      <c r="C49" s="26">
        <f>a*e^2*m*k^2</f>
        <v>2.7826999199999976E-4</v>
      </c>
      <c r="D49" s="26">
        <f>a*d*e*m*j*k</f>
        <v>9.9755575919999954E-3</v>
      </c>
      <c r="E49" s="26">
        <f>a*d^2*m*j^2</f>
        <v>0.3576086251920001</v>
      </c>
      <c r="F49" s="26">
        <f>b*d^2*n*j^2</f>
        <v>9.9755575919999971E-3</v>
      </c>
      <c r="G49" s="26">
        <f>b*d^2*n*j^2</f>
        <v>9.9755575919999971E-3</v>
      </c>
      <c r="H49" s="26">
        <f>b*d^2*n*j^2</f>
        <v>9.9755575919999971E-3</v>
      </c>
      <c r="I49" s="26">
        <f>b*d^2*n*j^2</f>
        <v>9.9755575919999971E-3</v>
      </c>
      <c r="J49" s="26">
        <f>B9*B49+C9*C49+D9*D49+E9*E49+F9*F49+G9*G49+H9*H49+I9*I49</f>
        <v>15.999459064833497</v>
      </c>
      <c r="K49" s="28">
        <f>E115*100</f>
        <v>17.1875</v>
      </c>
      <c r="M49" s="17" t="str">
        <f>'[1]Version 6 (Gains, AA)'!M31</f>
        <v>c1+c2</v>
      </c>
      <c r="N49" s="19">
        <f xml:space="preserve"> N48+C105</f>
        <v>0.1566671689583515</v>
      </c>
      <c r="O49" s="19">
        <f xml:space="preserve"> O48+C119</f>
        <v>8.4375000000000006E-2</v>
      </c>
      <c r="P49" s="19">
        <f t="shared" ref="P49:P55" si="6">ABS(N49-O49)</f>
        <v>7.2292168958351499E-2</v>
      </c>
    </row>
    <row r="50" spans="1:16" x14ac:dyDescent="0.2">
      <c r="A50" t="s">
        <v>9</v>
      </c>
      <c r="B50" s="26">
        <f>e^2*a*k*m^2</f>
        <v>9.8659360799999932E-4</v>
      </c>
      <c r="C50" s="26">
        <f>a^2*e*k*m^2</f>
        <v>9.9755575919999971E-3</v>
      </c>
      <c r="D50" s="26">
        <f>e*a^2*k*m^2</f>
        <v>9.9755575919999971E-3</v>
      </c>
      <c r="E50" s="26">
        <f>e*a^2*k*m^2</f>
        <v>9.9755575919999971E-3</v>
      </c>
      <c r="F50" s="26">
        <f>d*a^2*j*m^2</f>
        <v>0.3576086251920001</v>
      </c>
      <c r="G50" s="26">
        <f>d*a*b*m*j*n</f>
        <v>9.9755575919999971E-3</v>
      </c>
      <c r="H50" s="26">
        <f>d*b^2*j*n^2</f>
        <v>2.7826999199999976E-4</v>
      </c>
      <c r="I50" s="26">
        <f>d*b^2*j*n^2</f>
        <v>2.7826999199999976E-4</v>
      </c>
      <c r="J50" s="26">
        <f>B9*B50+C9*C50+D9*D50+E9*E50+F9*F50+G9*G50+H9*H50+I9*I50</f>
        <v>10.643832776824574</v>
      </c>
      <c r="K50" s="28">
        <f>F114*100</f>
        <v>6.25</v>
      </c>
      <c r="M50" s="17" t="str">
        <f>'[1]Version 6 (Gains, AA)'!M32</f>
        <v>c1+c2+c3</v>
      </c>
      <c r="N50" s="19">
        <f>N49+D105</f>
        <v>0.40413334409497603</v>
      </c>
      <c r="O50" s="19">
        <f>O49+D119</f>
        <v>0.33437499999999998</v>
      </c>
      <c r="P50" s="19">
        <f t="shared" si="6"/>
        <v>6.9758344094976055E-2</v>
      </c>
    </row>
    <row r="51" spans="1:16" x14ac:dyDescent="0.2">
      <c r="A51" t="s">
        <v>10</v>
      </c>
      <c r="B51" s="26">
        <f t="shared" ref="B51:E52" si="7">e^2*a*k^2*m</f>
        <v>2.7826999199999976E-4</v>
      </c>
      <c r="C51" s="26">
        <f t="shared" si="7"/>
        <v>2.7826999199999976E-4</v>
      </c>
      <c r="D51" s="26">
        <f t="shared" si="7"/>
        <v>2.7826999199999976E-4</v>
      </c>
      <c r="E51" s="26">
        <f t="shared" si="7"/>
        <v>2.7826999199999976E-4</v>
      </c>
      <c r="F51" s="26">
        <f>d*a*e*j*k*m</f>
        <v>9.9755575919999954E-3</v>
      </c>
      <c r="G51" s="26">
        <f>d^2*a*m*j^2</f>
        <v>0.3576086251920001</v>
      </c>
      <c r="H51" s="26">
        <f>d^2*b*j^2*n</f>
        <v>9.9755575919999971E-3</v>
      </c>
      <c r="I51" s="26">
        <f>d^2*b*j^2*n</f>
        <v>9.9755575919999971E-3</v>
      </c>
      <c r="J51" s="26">
        <f>B9*B51+C9*C51+D9*D51+E9*E51+F9*F51+G9*G51+H9*H51+I9*I51</f>
        <v>1.1912981838479095</v>
      </c>
      <c r="K51" s="28">
        <f>G113*100</f>
        <v>2.1875</v>
      </c>
      <c r="M51" s="17" t="str">
        <f>'[1]Version 6 (Gains, AA)'!M33</f>
        <v>c1+c2+c3+c4</v>
      </c>
      <c r="N51" s="19">
        <f>N50+E105</f>
        <v>0.70042156071196848</v>
      </c>
      <c r="O51" s="19">
        <f>O50+E119</f>
        <v>0.73749999999999993</v>
      </c>
      <c r="P51" s="19">
        <f t="shared" si="6"/>
        <v>3.7078439288031451E-2</v>
      </c>
    </row>
    <row r="52" spans="1:16" x14ac:dyDescent="0.2">
      <c r="A52" t="s">
        <v>11</v>
      </c>
      <c r="B52" s="26">
        <f t="shared" si="7"/>
        <v>2.7826999199999976E-4</v>
      </c>
      <c r="C52" s="26">
        <f t="shared" si="7"/>
        <v>2.7826999199999976E-4</v>
      </c>
      <c r="D52" s="26">
        <f t="shared" si="7"/>
        <v>2.7826999199999976E-4</v>
      </c>
      <c r="E52" s="26">
        <f t="shared" si="7"/>
        <v>2.7826999199999976E-4</v>
      </c>
      <c r="F52" s="26">
        <f>d*a*e*j*k*m</f>
        <v>9.9755575919999954E-3</v>
      </c>
      <c r="G52" s="26">
        <f>d*a*e*j*k*m</f>
        <v>9.9755575919999954E-3</v>
      </c>
      <c r="H52" s="26">
        <f>d^2*a*j^2*m</f>
        <v>0.35760862519200004</v>
      </c>
      <c r="I52" s="26">
        <f>d^2*b*j^2*n</f>
        <v>9.9755575919999971E-3</v>
      </c>
      <c r="J52" s="26">
        <f>B9*B52+C9*C52+D9*D52+E9*E52+F9*F52+G9*G52+H9*H52+I9*I52</f>
        <v>0.3570450345682627</v>
      </c>
      <c r="K52" s="28">
        <f>H112*100</f>
        <v>0.625</v>
      </c>
      <c r="M52" s="17" t="str">
        <f>'[1]Version 6 (Gains, AA)'!M34</f>
        <v>c1+c2+c3+c4+c5</v>
      </c>
      <c r="N52" s="19">
        <f>N51+F105</f>
        <v>0.93552200595412471</v>
      </c>
      <c r="O52" s="19">
        <f>O51+F119</f>
        <v>0.890625</v>
      </c>
      <c r="P52" s="19">
        <f t="shared" si="6"/>
        <v>4.4897005954124714E-2</v>
      </c>
    </row>
    <row r="53" spans="1:16" x14ac:dyDescent="0.2">
      <c r="A53" t="s">
        <v>12</v>
      </c>
      <c r="B53" s="26">
        <f>e^3*k^3</f>
        <v>7.76239199999999E-6</v>
      </c>
      <c r="C53" s="26">
        <f>e^3*k^3</f>
        <v>7.76239199999999E-6</v>
      </c>
      <c r="D53" s="26">
        <f>e^3*k^3</f>
        <v>7.76239199999999E-6</v>
      </c>
      <c r="E53" s="26">
        <f>e^3*k^3</f>
        <v>7.76239199999999E-6</v>
      </c>
      <c r="F53" s="26">
        <f>d*e^2*j*k^2</f>
        <v>2.7826999199999976E-4</v>
      </c>
      <c r="G53" s="26">
        <f>d*e^2*j*k^2</f>
        <v>2.7826999199999976E-4</v>
      </c>
      <c r="H53" s="26">
        <f>d^2*e*j^2*k</f>
        <v>9.9755575919999971E-3</v>
      </c>
      <c r="I53" s="26">
        <f>d^3*j^3</f>
        <v>0.3576086251920001</v>
      </c>
      <c r="J53" s="26">
        <f>B9*B53+C9*C53+D9*D53+E9*E53+F9*F53+G9*G53+H9*H53+I9*I53</f>
        <v>9.9867888001886687E-3</v>
      </c>
      <c r="K53" s="28">
        <f>I111*100</f>
        <v>0.9375</v>
      </c>
      <c r="M53" s="17" t="str">
        <f>'[1]Version 6 (Gains, AA)'!M35</f>
        <v>c1+c2+c3+c4+c5+c6</v>
      </c>
      <c r="N53" s="19">
        <f>N52+G105</f>
        <v>0.97236027249225687</v>
      </c>
      <c r="O53" s="19">
        <f>O52+G119</f>
        <v>0.94374999999999998</v>
      </c>
      <c r="P53" s="19">
        <f t="shared" si="6"/>
        <v>2.8610272492256894E-2</v>
      </c>
    </row>
    <row r="54" spans="1:16" x14ac:dyDescent="0.2">
      <c r="A54" t="s">
        <v>13</v>
      </c>
      <c r="B54" s="26"/>
      <c r="C54" s="26"/>
      <c r="D54" s="26"/>
      <c r="E54" s="26"/>
      <c r="F54" s="26"/>
      <c r="G54" s="26"/>
      <c r="H54" s="26"/>
      <c r="I54" s="26"/>
      <c r="J54" s="26">
        <f>SUM(J46:J53)</f>
        <v>38.837786944029162</v>
      </c>
      <c r="K54" s="28">
        <f>SUM(K46:K53)</f>
        <v>37.1875</v>
      </c>
      <c r="M54" s="17" t="str">
        <f>'[1]Version 6 (Gains, AA)'!M36</f>
        <v>c1+c2+c3+c4+c5+c6+c7</v>
      </c>
      <c r="N54" s="19">
        <f>N53+H105</f>
        <v>0.99737496800231962</v>
      </c>
      <c r="O54" s="19">
        <f>O53+H119</f>
        <v>0.97499999999999998</v>
      </c>
      <c r="P54" s="19">
        <f t="shared" si="6"/>
        <v>2.237496800231964E-2</v>
      </c>
    </row>
    <row r="55" spans="1:16" x14ac:dyDescent="0.2">
      <c r="A55" t="s">
        <v>15</v>
      </c>
      <c r="B55" s="26">
        <f>a^3*m^2*k</f>
        <v>0.100863971208</v>
      </c>
      <c r="C55" s="26">
        <f>a^2*b*m^2*j</f>
        <v>0.100863971208</v>
      </c>
      <c r="D55" s="26">
        <f>a*b^2*m*n*j</f>
        <v>2.8136188079999984E-3</v>
      </c>
      <c r="E55" s="26">
        <f>a*b^2*m*n*j</f>
        <v>2.8136188079999984E-3</v>
      </c>
      <c r="F55" s="26">
        <f>b^3*n^2*j</f>
        <v>7.8486407999999922E-5</v>
      </c>
      <c r="G55" s="26">
        <f>b^3*n^2*j</f>
        <v>7.8486407999999922E-5</v>
      </c>
      <c r="H55" s="26">
        <f>b^3*n^2*j</f>
        <v>7.8486407999999922E-5</v>
      </c>
      <c r="I55" s="26">
        <f>b^3*n^2*j</f>
        <v>7.8486407999999922E-5</v>
      </c>
      <c r="J55" s="26">
        <f>B9*B55+C9*C55+D9*D55+E9*E55+F9*F55+G9*G55+H9*H55+I9*I55</f>
        <v>0.2403823429216736</v>
      </c>
      <c r="K55" s="28">
        <f>B117*100</f>
        <v>0.3125</v>
      </c>
      <c r="M55" s="17" t="str">
        <f>'[1]Version 6 (Gains, AA)'!M37</f>
        <v>c1+c2+c3+c4+c5+c6+c7+c8</v>
      </c>
      <c r="N55" s="19">
        <f>N54+I105</f>
        <v>0.9998492968365259</v>
      </c>
      <c r="O55" s="19">
        <f>O54+I119</f>
        <v>1</v>
      </c>
      <c r="P55" s="19">
        <f t="shared" si="6"/>
        <v>1.507031634740974E-4</v>
      </c>
    </row>
    <row r="56" spans="1:16" x14ac:dyDescent="0.2">
      <c r="A56" t="s">
        <v>17</v>
      </c>
      <c r="B56" s="26">
        <f>a^2*e*m^2*k</f>
        <v>9.9755575919999971E-3</v>
      </c>
      <c r="C56" s="26">
        <f>a*d^2*m^2*k</f>
        <v>7.4104142112000004E-2</v>
      </c>
      <c r="D56" s="26">
        <f>a*d*b*j*m^2</f>
        <v>8.6454832464E-2</v>
      </c>
      <c r="E56" s="26">
        <f>a*d*b*m*j*n</f>
        <v>9.9755575919999971E-3</v>
      </c>
      <c r="F56" s="26">
        <f>b^2*d*n^2*j</f>
        <v>2.7826999199999976E-4</v>
      </c>
      <c r="G56" s="26">
        <f>b^2*d*n^2*j</f>
        <v>2.7826999199999976E-4</v>
      </c>
      <c r="H56" s="26">
        <f>b^2*d*n^2*j</f>
        <v>2.7826999199999976E-4</v>
      </c>
      <c r="I56" s="26">
        <f>b^2*d*n^2*j</f>
        <v>2.7826999199999976E-4</v>
      </c>
      <c r="J56" s="26">
        <f>B9*B56+C9*C56+D9*D56+E9*E56+F9*F56+G9*G56+H9*H56+I9*I56</f>
        <v>2.7232364179119704</v>
      </c>
      <c r="K56" s="28">
        <f>C116*100</f>
        <v>0.625</v>
      </c>
      <c r="M56" s="17" t="str">
        <f>'[1]Version 6 (Gains, AA)'!M38</f>
        <v>maximum diff</v>
      </c>
      <c r="N56" s="17"/>
      <c r="O56" s="19"/>
      <c r="P56" s="19">
        <f>MAX(P48:P55)</f>
        <v>7.2292168958351499E-2</v>
      </c>
    </row>
    <row r="57" spans="1:16" x14ac:dyDescent="0.2">
      <c r="A57" t="s">
        <v>18</v>
      </c>
      <c r="B57" s="26">
        <f>a^2*e*m*k^2</f>
        <v>2.8136188079999989E-3</v>
      </c>
      <c r="C57" s="26">
        <f>a^2*e*m*k^2</f>
        <v>2.8136188079999989E-3</v>
      </c>
      <c r="D57" s="26">
        <f>a^2*d*m*j*k</f>
        <v>0.10086397120800002</v>
      </c>
      <c r="E57" s="26">
        <f>a*d*b*m*j^2</f>
        <v>0.100863971208</v>
      </c>
      <c r="F57" s="26">
        <f>b^2*d*n*j^2</f>
        <v>2.8136188079999989E-3</v>
      </c>
      <c r="G57" s="26">
        <f>b^2*d*n*j^2</f>
        <v>2.8136188079999989E-3</v>
      </c>
      <c r="H57" s="26">
        <f>b^2*d*n*j^2</f>
        <v>2.8136188079999989E-3</v>
      </c>
      <c r="I57" s="26">
        <f>b^2*d*n*j^2</f>
        <v>2.8136188079999989E-3</v>
      </c>
      <c r="J57" s="26">
        <f>B9*B57+C9*C57+D9*D57+E9*E57+F9*F57+G9*G57+H9*H57+I9*I57</f>
        <v>7.0683511505400043</v>
      </c>
      <c r="K57" s="28">
        <f>D115*100</f>
        <v>6.8750000000000009</v>
      </c>
      <c r="M57" s="17" t="str">
        <f>'[1]Version 6 (Gains, AA)'!M39</f>
        <v>r2 compared to r2</v>
      </c>
      <c r="N57" s="17"/>
      <c r="O57" s="17"/>
      <c r="P57" s="17"/>
    </row>
    <row r="58" spans="1:16" x14ac:dyDescent="0.2">
      <c r="A58" t="s">
        <v>19</v>
      </c>
      <c r="B58" s="26">
        <f>a*e^2*k*m^2</f>
        <v>9.8659360799999932E-4</v>
      </c>
      <c r="C58" s="26">
        <f>a*e^2*k*m^2</f>
        <v>9.8659360799999932E-4</v>
      </c>
      <c r="D58" s="26">
        <f>a*d*e*k*m^2</f>
        <v>8.550477935999997E-3</v>
      </c>
      <c r="E58" s="26">
        <f>a*d^2*k*m^2</f>
        <v>7.4104142112000004E-2</v>
      </c>
      <c r="F58" s="26">
        <f>b*d^2*j*m^2</f>
        <v>7.4104142112000004E-2</v>
      </c>
      <c r="G58" s="26">
        <f>b*d^2*m*j*n</f>
        <v>8.550477935999997E-3</v>
      </c>
      <c r="H58" s="26">
        <f>b*d^2*j*n^2</f>
        <v>9.8659360799999932E-4</v>
      </c>
      <c r="I58" s="26">
        <f>b*d^2*j*n^2</f>
        <v>9.8659360799999932E-4</v>
      </c>
      <c r="J58" s="26">
        <f>B9*B58+C9*C58+D9*D58+E9*E58+F9*F58+G9*G58+H9*H58+I9*I58</f>
        <v>5.4999555249946175</v>
      </c>
      <c r="K58" s="28">
        <f>E114*100</f>
        <v>5.625</v>
      </c>
      <c r="M58" s="17" t="str">
        <f>'[1]Version 6 (Gains, AA)'!M40</f>
        <v>r1</v>
      </c>
      <c r="N58" s="19">
        <f>J97</f>
        <v>2.0923468981582996E-2</v>
      </c>
      <c r="O58" s="19">
        <f>J111</f>
        <v>8.1250000000000003E-2</v>
      </c>
      <c r="P58" s="19">
        <f>ABS(N58-O58)</f>
        <v>6.0326531018417007E-2</v>
      </c>
    </row>
    <row r="59" spans="1:16" x14ac:dyDescent="0.2">
      <c r="A59" t="s">
        <v>20</v>
      </c>
      <c r="B59" s="26">
        <f>e*a^2*k^2*m</f>
        <v>2.8136188079999989E-3</v>
      </c>
      <c r="C59" s="26">
        <f>a^2*e*k^2*m</f>
        <v>2.8136188079999989E-3</v>
      </c>
      <c r="D59" s="26">
        <f>e*a^2*k^2*m</f>
        <v>2.8136188079999989E-3</v>
      </c>
      <c r="E59" s="26">
        <f>e*a^2*k^2*m</f>
        <v>2.8136188079999989E-3</v>
      </c>
      <c r="F59" s="26">
        <f>d*a^2*j*k*m</f>
        <v>0.10086397120800002</v>
      </c>
      <c r="G59" s="26">
        <f>d*a*b*m*j^2</f>
        <v>0.100863971208</v>
      </c>
      <c r="H59" s="26">
        <f>d*b^2*j^2*n</f>
        <v>2.8136188079999989E-3</v>
      </c>
      <c r="I59" s="26">
        <f>d*b^2*j^2*n</f>
        <v>2.8136188079999989E-3</v>
      </c>
      <c r="J59" s="26">
        <f>B9*B59+C9*C59+D9*D59+E9*E59+F9*F59+G9*G59+H9*H59+I9*I59</f>
        <v>3.2475236242581089</v>
      </c>
      <c r="K59" s="28">
        <f>F113*100</f>
        <v>1.25</v>
      </c>
      <c r="M59" s="17" t="str">
        <f>'[1]Version 6 (Gains, AA)'!M41</f>
        <v>r1+r2</v>
      </c>
      <c r="N59" s="19">
        <f t="shared" ref="N59:N65" si="8">N58+J98</f>
        <v>9.508978370001013E-2</v>
      </c>
      <c r="O59" s="19">
        <f t="shared" ref="O59:O65" si="9">O58+J112</f>
        <v>0.15625</v>
      </c>
      <c r="P59" s="19">
        <f t="shared" ref="P59:P65" si="10">ABS(N59-O59)</f>
        <v>6.116021629998987E-2</v>
      </c>
    </row>
    <row r="60" spans="1:16" x14ac:dyDescent="0.2">
      <c r="A60" t="s">
        <v>21</v>
      </c>
      <c r="B60" s="26">
        <f>e^2*a*k^2*m</f>
        <v>2.7826999199999976E-4</v>
      </c>
      <c r="C60" s="26">
        <f>e^2*a*k^2*m</f>
        <v>2.7826999199999976E-4</v>
      </c>
      <c r="D60" s="26">
        <f>e^2*a*k^2*m</f>
        <v>2.7826999199999976E-4</v>
      </c>
      <c r="E60" s="26">
        <f>e^2*a*k^2*m</f>
        <v>2.7826999199999976E-4</v>
      </c>
      <c r="F60" s="26">
        <f>d*a*e*j*k*m</f>
        <v>9.9755575919999954E-3</v>
      </c>
      <c r="G60" s="26">
        <f>d^2*a*m*k*j</f>
        <v>8.6454832464E-2</v>
      </c>
      <c r="H60" s="26">
        <f>d^2*b*j^2*m</f>
        <v>8.6454832464E-2</v>
      </c>
      <c r="I60" s="26">
        <f>d^2*b*j^2*n</f>
        <v>9.9755575919999971E-3</v>
      </c>
      <c r="J60" s="26">
        <f>B9*B60+C9*C60+D9*D60+E9*E60+F9*F60+G9*G60+H9*H60+I9*I60</f>
        <v>0.52104375202232656</v>
      </c>
      <c r="K60" s="28">
        <f>G112*100</f>
        <v>0.3125</v>
      </c>
      <c r="M60" s="17" t="str">
        <f>'[1]Version 6 (Gains, AA)'!M42</f>
        <v>r1+r2+r3</v>
      </c>
      <c r="N60" s="19">
        <f t="shared" si="8"/>
        <v>0.18092753506638704</v>
      </c>
      <c r="O60" s="19">
        <f t="shared" si="9"/>
        <v>0.28749999999999998</v>
      </c>
      <c r="P60" s="19">
        <f t="shared" si="10"/>
        <v>0.10657246493361294</v>
      </c>
    </row>
    <row r="61" spans="1:16" x14ac:dyDescent="0.2">
      <c r="A61" t="s">
        <v>22</v>
      </c>
      <c r="B61" s="26">
        <f>e^2*a*k^3</f>
        <v>7.8486407999999908E-5</v>
      </c>
      <c r="C61" s="26">
        <f>e^2*a*k^3</f>
        <v>7.8486407999999908E-5</v>
      </c>
      <c r="D61" s="26">
        <f>e^2*a*k^3</f>
        <v>7.8486407999999908E-5</v>
      </c>
      <c r="E61" s="26">
        <f>e^2*a*k^3</f>
        <v>7.8486407999999908E-5</v>
      </c>
      <c r="F61" s="26">
        <f>d*e*a*j*k^2</f>
        <v>2.8136188079999993E-3</v>
      </c>
      <c r="G61" s="26">
        <f>d*a*e*j*k^2</f>
        <v>2.8136188079999984E-3</v>
      </c>
      <c r="H61" s="26">
        <f>d^2*a*j^2*k</f>
        <v>0.100863971208</v>
      </c>
      <c r="I61" s="26">
        <f>d^2*b*j^3</f>
        <v>0.100863971208</v>
      </c>
      <c r="J61" s="26">
        <f>B9*B61+C9*C61+D9*D61+E9*E61+F9*F61+G9*G61+H9*H61+I9*I61</f>
        <v>0.10071240548021376</v>
      </c>
      <c r="K61" s="28">
        <f>H111*100</f>
        <v>0.625</v>
      </c>
      <c r="M61" s="17" t="str">
        <f>'[1]Version 6 (Gains, AA)'!M43</f>
        <v>r1+r2+r3+r4</v>
      </c>
      <c r="N61" s="19">
        <f t="shared" si="8"/>
        <v>0.42934491776119088</v>
      </c>
      <c r="O61" s="19">
        <f t="shared" si="9"/>
        <v>0.47499999999999998</v>
      </c>
      <c r="P61" s="19">
        <f t="shared" si="10"/>
        <v>4.5655082238809097E-2</v>
      </c>
    </row>
    <row r="62" spans="1:16" x14ac:dyDescent="0.2">
      <c r="A62" t="s">
        <v>13</v>
      </c>
      <c r="B62" s="26"/>
      <c r="C62" s="26"/>
      <c r="D62" s="26"/>
      <c r="E62" s="26"/>
      <c r="F62" s="26"/>
      <c r="G62" s="26"/>
      <c r="H62" s="26"/>
      <c r="I62" s="26"/>
      <c r="J62" s="26">
        <f>SUM(J55:J61)</f>
        <v>19.401205218128911</v>
      </c>
      <c r="K62" s="28">
        <f>SUM(K55:K61)</f>
        <v>15.625</v>
      </c>
      <c r="M62" s="17" t="str">
        <f>'[1]Version 6 (Gains, AA)'!M44</f>
        <v>r1+r2+r3+r4+r5</v>
      </c>
      <c r="N62" s="19">
        <f t="shared" si="8"/>
        <v>0.77161557443504947</v>
      </c>
      <c r="O62" s="19">
        <f t="shared" si="9"/>
        <v>0.77499999999999991</v>
      </c>
      <c r="P62" s="19">
        <f t="shared" si="10"/>
        <v>3.384425564950444E-3</v>
      </c>
    </row>
    <row r="63" spans="1:16" x14ac:dyDescent="0.2">
      <c r="A63" t="s">
        <v>16</v>
      </c>
      <c r="B63" s="26">
        <f>a^3*m^2*k</f>
        <v>0.100863971208</v>
      </c>
      <c r="C63" s="26">
        <f>a^2*b*m^2*k</f>
        <v>2.4384696336E-2</v>
      </c>
      <c r="D63" s="26">
        <f>a*b^2*j*m^2</f>
        <v>2.4384696336E-2</v>
      </c>
      <c r="E63" s="26">
        <f>a*b^2*m*j*n</f>
        <v>2.8136188079999989E-3</v>
      </c>
      <c r="F63" s="26">
        <f>b^3*n^2*j</f>
        <v>7.8486407999999922E-5</v>
      </c>
      <c r="G63" s="26">
        <f>b^3*n^2*j</f>
        <v>7.8486407999999922E-5</v>
      </c>
      <c r="H63" s="26">
        <f>b^3*n^2*j</f>
        <v>7.8486407999999922E-5</v>
      </c>
      <c r="I63" s="26">
        <f>b^3*n^2*j</f>
        <v>7.8486407999999922E-5</v>
      </c>
      <c r="J63" s="26">
        <f>B9*B63+C9*C63+D9*D63+E9*E63+F9*F63+G9*G63+H9*H63+I9*I63</f>
        <v>0.76958674592385068</v>
      </c>
      <c r="K63" s="28">
        <f>B116*100</f>
        <v>0</v>
      </c>
      <c r="M63" s="17" t="str">
        <f>'[1]Version 6 (Gains, AA)'!M45</f>
        <v>r1+r2+r3+r4+r5+r6</v>
      </c>
      <c r="N63" s="19">
        <f t="shared" si="8"/>
        <v>0.94619038742214245</v>
      </c>
      <c r="O63" s="19">
        <f t="shared" si="9"/>
        <v>0.92187499999999989</v>
      </c>
      <c r="P63" s="19">
        <f t="shared" si="10"/>
        <v>2.4315387422142565E-2</v>
      </c>
    </row>
    <row r="64" spans="1:16" x14ac:dyDescent="0.2">
      <c r="A64" t="s">
        <v>23</v>
      </c>
      <c r="B64" s="26">
        <f>a^2*e*m*k^2</f>
        <v>2.8136188079999989E-3</v>
      </c>
      <c r="C64" s="26">
        <f>a*d^2*m*k^2</f>
        <v>2.0901168288E-2</v>
      </c>
      <c r="D64" s="26">
        <f>a*d*b*m*j*k</f>
        <v>2.4384696336E-2</v>
      </c>
      <c r="E64" s="26">
        <f>a*d*b*m*j^2</f>
        <v>0.100863971208</v>
      </c>
      <c r="F64" s="26">
        <f>b^2*d*n*j^2</f>
        <v>2.8136188079999989E-3</v>
      </c>
      <c r="G64" s="26">
        <f>b^2*d*n*j^2</f>
        <v>2.8136188079999989E-3</v>
      </c>
      <c r="H64" s="26">
        <f>b^2*d*n*j^2</f>
        <v>2.8136188079999989E-3</v>
      </c>
      <c r="I64" s="26">
        <f>b^2*d*n*j^2</f>
        <v>2.8136188079999989E-3</v>
      </c>
      <c r="J64" s="26">
        <f>B9*B64+C9*C64+D9*D64+E9*E64+F9*F64+G9*G64+H9*H64+I9*I64</f>
        <v>5.0835873244082128</v>
      </c>
      <c r="K64" s="28">
        <f>C115*100</f>
        <v>0.625</v>
      </c>
      <c r="M64" s="17" t="str">
        <f>'[1]Version 6 (Gains, AA)'!M46</f>
        <v>r1+r2+r3+r4+r5+r6+r7</v>
      </c>
      <c r="N64" s="19">
        <f t="shared" si="8"/>
        <v>0.99501995315850811</v>
      </c>
      <c r="O64" s="19">
        <f t="shared" si="9"/>
        <v>0.97812499999999991</v>
      </c>
      <c r="P64" s="19">
        <f t="shared" si="10"/>
        <v>1.6894953158508197E-2</v>
      </c>
    </row>
    <row r="65" spans="1:16" x14ac:dyDescent="0.2">
      <c r="A65" t="s">
        <v>24</v>
      </c>
      <c r="B65" s="26">
        <f>a^2*e*k*m^2</f>
        <v>9.9755575919999971E-3</v>
      </c>
      <c r="C65" s="26">
        <f>a^2*e*k*m^2</f>
        <v>9.9755575919999971E-3</v>
      </c>
      <c r="D65" s="26">
        <f>a^2*d*k*m^2</f>
        <v>8.6454832464E-2</v>
      </c>
      <c r="E65" s="26">
        <f>a*d*b*k*m^2</f>
        <v>2.0901168287999997E-2</v>
      </c>
      <c r="F65" s="26">
        <f>b^2*d*j*m^2</f>
        <v>2.0901168287999997E-2</v>
      </c>
      <c r="G65" s="26">
        <f>b^2*d*m*j*n</f>
        <v>2.411673263999999E-3</v>
      </c>
      <c r="H65" s="26">
        <f>b^2*d*j*n^2</f>
        <v>2.7826999199999976E-4</v>
      </c>
      <c r="I65" s="26">
        <f>b^2*d*j*n^2</f>
        <v>2.7826999199999976E-4</v>
      </c>
      <c r="J65" s="26">
        <f>B9*B65+C9*C65+D9*D65+E9*E65+F9*F65+G9*G65+H9*H65+I9*I65</f>
        <v>3.7450074926459846</v>
      </c>
      <c r="K65" s="28">
        <f>D114*100</f>
        <v>4.0625</v>
      </c>
      <c r="M65" s="17" t="str">
        <f>'[1]Version 6 (Gains, AA)'!M47</f>
        <v>r1+r2+r3+r4+r5+r6+r7+r8</v>
      </c>
      <c r="N65" s="19">
        <f t="shared" si="8"/>
        <v>0.99984929683652612</v>
      </c>
      <c r="O65" s="19">
        <f t="shared" si="9"/>
        <v>0.99999999999999989</v>
      </c>
      <c r="P65" s="19">
        <f t="shared" si="10"/>
        <v>1.5070316347376433E-4</v>
      </c>
    </row>
    <row r="66" spans="1:16" x14ac:dyDescent="0.2">
      <c r="A66" t="s">
        <v>25</v>
      </c>
      <c r="B66" s="26">
        <f>a*e^2*k^2*m</f>
        <v>2.7826999199999976E-4</v>
      </c>
      <c r="C66" s="26">
        <f>a*e^2*k^2*m</f>
        <v>2.7826999199999976E-4</v>
      </c>
      <c r="D66" s="26">
        <f>a*d*e*k^2*m</f>
        <v>2.411673263999999E-3</v>
      </c>
      <c r="E66" s="26">
        <f>a*d^2*k^2*m</f>
        <v>2.0901168288E-2</v>
      </c>
      <c r="F66" s="26">
        <f>b*d^2*j*k*m</f>
        <v>2.0901168287999997E-2</v>
      </c>
      <c r="G66" s="26">
        <f>b*d^2*m*j^2</f>
        <v>8.6454832464E-2</v>
      </c>
      <c r="H66" s="26">
        <f>b*d^2*j^2*n</f>
        <v>9.9755575919999971E-3</v>
      </c>
      <c r="I66" s="26">
        <f>b*d^2*j^2*n</f>
        <v>9.9755575919999971E-3</v>
      </c>
      <c r="J66" s="26">
        <f>B9*B66+C9*C66+D9*D66+E9*E66+F9*F66+G9*G66+H9*H66+I9*I66</f>
        <v>1.762365335007543</v>
      </c>
      <c r="K66" s="28">
        <f>E113*100</f>
        <v>5.3125</v>
      </c>
      <c r="M66" s="17" t="str">
        <f>'[1]Version 6 (Gains, AA)'!M48</f>
        <v>maximum diff</v>
      </c>
      <c r="N66" s="17"/>
      <c r="O66" s="17"/>
      <c r="P66" s="19">
        <f>MAX(P58:P65)</f>
        <v>0.10657246493361294</v>
      </c>
    </row>
    <row r="67" spans="1:16" x14ac:dyDescent="0.2">
      <c r="A67" t="s">
        <v>26</v>
      </c>
      <c r="B67" s="26">
        <f>a^2*e*k^2*m</f>
        <v>2.8136188079999989E-3</v>
      </c>
      <c r="C67" s="26">
        <f>a^2*e*k^2*m</f>
        <v>2.8136188079999989E-3</v>
      </c>
      <c r="D67" s="26">
        <f>a^2*e*k^2*m</f>
        <v>2.8136188079999989E-3</v>
      </c>
      <c r="E67" s="26">
        <f>a^2*e*k^2*m</f>
        <v>2.8136188079999989E-3</v>
      </c>
      <c r="F67" s="26">
        <f>d*a^2*j*k*m</f>
        <v>0.10086397120800002</v>
      </c>
      <c r="G67" s="26">
        <f>d*a*b*j*k*m</f>
        <v>2.4384696335999996E-2</v>
      </c>
      <c r="H67" s="26">
        <f>d*b^2*j^2*m</f>
        <v>2.4384696335999996E-2</v>
      </c>
      <c r="I67" s="26">
        <f>d*b^2*j^2*n</f>
        <v>2.8136188079999989E-3</v>
      </c>
      <c r="J67" s="26">
        <f>B9*B67+C9*C67+D9*D67+E9*E67+F9*F67+G9*G67+H9*H67+I9*I67</f>
        <v>3.0584775024611499</v>
      </c>
      <c r="K67" s="28">
        <f>F112*100</f>
        <v>0.9375</v>
      </c>
      <c r="M67" s="17" t="str">
        <f>'[1]Version 6 (Gains, AA)'!M49</f>
        <v>r1-r2 compared to r1-r2</v>
      </c>
      <c r="N67" s="17"/>
      <c r="O67" s="17"/>
      <c r="P67" s="17"/>
    </row>
    <row r="68" spans="1:16" x14ac:dyDescent="0.2">
      <c r="A68" t="s">
        <v>27</v>
      </c>
      <c r="B68" s="26">
        <f>e^2*a*k^3</f>
        <v>7.8486407999999908E-5</v>
      </c>
      <c r="C68" s="26">
        <f>e^2*a*k^3</f>
        <v>7.8486407999999908E-5</v>
      </c>
      <c r="D68" s="26">
        <f>e^2*a*k^3</f>
        <v>7.8486407999999908E-5</v>
      </c>
      <c r="E68" s="26">
        <f>e^2*a*k^3</f>
        <v>7.8486407999999908E-5</v>
      </c>
      <c r="F68" s="26">
        <f>d*a*e*j*k^2</f>
        <v>2.8136188079999984E-3</v>
      </c>
      <c r="G68" s="26">
        <f>d^2*a*j*k^2</f>
        <v>2.4384696335999996E-2</v>
      </c>
      <c r="H68" s="26">
        <f>d^2*b*j^2*k</f>
        <v>2.4384696336E-2</v>
      </c>
      <c r="I68" s="26">
        <f>d^2*b*j^3</f>
        <v>0.100863971208</v>
      </c>
      <c r="J68" s="26">
        <f>B9*B68+C9*C68+D9*D68+E9*E68+F9*F68+G9*G68+H9*H68+I9*I68</f>
        <v>0.1469684539928984</v>
      </c>
      <c r="K68" s="28">
        <f>G111*100</f>
        <v>0.3125</v>
      </c>
      <c r="M68" s="17" t="str">
        <f>'[1]Version 6 (Gains, AA)'!M50</f>
        <v>d1</v>
      </c>
      <c r="N68" s="19">
        <f>J88/100</f>
        <v>4.7676907239267079E-4</v>
      </c>
      <c r="O68" s="19">
        <f>K88/100</f>
        <v>3.1250000000000002E-3</v>
      </c>
      <c r="P68" s="19">
        <f>ABS(N68-O68)</f>
        <v>2.6482309276073292E-3</v>
      </c>
    </row>
    <row r="69" spans="1:16" x14ac:dyDescent="0.2">
      <c r="A69" t="s">
        <v>13</v>
      </c>
      <c r="B69" s="26"/>
      <c r="C69" s="26"/>
      <c r="D69" s="26"/>
      <c r="E69" s="26"/>
      <c r="F69" s="26"/>
      <c r="G69" s="26"/>
      <c r="H69" s="26"/>
      <c r="I69" s="26"/>
      <c r="J69" s="26">
        <f>SUM(J63:J68)</f>
        <v>14.565992854439639</v>
      </c>
      <c r="K69" s="28">
        <f>SUM(K63:K68)</f>
        <v>11.25</v>
      </c>
      <c r="M69" s="17" t="str">
        <f>'[1]Version 6 (Gains, AA)'!M51</f>
        <v>d1+d2</v>
      </c>
      <c r="N69" s="19">
        <f>J87/100+N68</f>
        <v>3.8574716066192317E-3</v>
      </c>
      <c r="O69" s="19">
        <f>K87/100+O68</f>
        <v>1.2500000000000001E-2</v>
      </c>
      <c r="P69" s="19">
        <f t="shared" ref="P69:P82" si="11">ABS(N69-O69)</f>
        <v>8.6425283933807689E-3</v>
      </c>
    </row>
    <row r="70" spans="1:16" x14ac:dyDescent="0.2">
      <c r="A70" t="s">
        <v>28</v>
      </c>
      <c r="B70" s="26">
        <f>a^3*m*k^2</f>
        <v>2.8448812392000002E-2</v>
      </c>
      <c r="C70" s="26">
        <f>a^2*b*m*k^2</f>
        <v>6.8777348639999991E-3</v>
      </c>
      <c r="D70" s="26">
        <f>a*b^2*m*j*k</f>
        <v>6.8777348639999982E-3</v>
      </c>
      <c r="E70" s="26">
        <f>a*b^2*m*j^2</f>
        <v>2.8448812391999995E-2</v>
      </c>
      <c r="F70" s="26">
        <f>b^3*n*j^2</f>
        <v>7.935847919999995E-4</v>
      </c>
      <c r="G70" s="26">
        <f>b^3*n*j^2</f>
        <v>7.935847919999995E-4</v>
      </c>
      <c r="H70" s="26">
        <f>b^3*n*j^2</f>
        <v>7.935847919999995E-4</v>
      </c>
      <c r="I70" s="26">
        <f>b^3*n*j^2</f>
        <v>7.935847919999995E-4</v>
      </c>
      <c r="J70" s="26">
        <f>B9*B70+C9*C70+D9*D70+E9*E70+F9*F70+G9*G70+H9*H70+I9*I70</f>
        <v>1.434253826170353</v>
      </c>
      <c r="K70" s="28">
        <f>B115*100</f>
        <v>0.3125</v>
      </c>
      <c r="M70" s="17" t="str">
        <f>'[1]Version 6 (Gains, AA)'!M52</f>
        <v>d1+d2+d3</v>
      </c>
      <c r="N70" s="19">
        <f>J84/100+N69</f>
        <v>1.4673117877640626E-2</v>
      </c>
      <c r="O70" s="19">
        <f>K84/100+O69</f>
        <v>2.5000000000000001E-2</v>
      </c>
      <c r="P70" s="19">
        <f t="shared" si="11"/>
        <v>1.0326882122359375E-2</v>
      </c>
    </row>
    <row r="71" spans="1:16" x14ac:dyDescent="0.2">
      <c r="A71" t="s">
        <v>29</v>
      </c>
      <c r="B71" s="26">
        <f>a^2*e*k*m^2</f>
        <v>9.9755575919999971E-3</v>
      </c>
      <c r="C71" s="26">
        <f>a*d^2*k*m^2</f>
        <v>7.4104142112000004E-2</v>
      </c>
      <c r="D71" s="26">
        <f>a*d*b*k*m^2</f>
        <v>2.0901168287999997E-2</v>
      </c>
      <c r="E71" s="26">
        <f>a*d*b*k*m^2</f>
        <v>2.0901168287999997E-2</v>
      </c>
      <c r="F71" s="26">
        <f>b^2*d*j*m^2</f>
        <v>2.0901168287999997E-2</v>
      </c>
      <c r="G71" s="26">
        <f>b^2*d*m*j*n</f>
        <v>2.411673263999999E-3</v>
      </c>
      <c r="H71" s="26">
        <f>b^2*d*j*n^2</f>
        <v>2.7826999199999976E-4</v>
      </c>
      <c r="I71" s="26">
        <f>b^2*d*j*n^2</f>
        <v>2.7826999199999976E-4</v>
      </c>
      <c r="J71" s="26">
        <f>B9*B71+C9*C71+D9*D71+E9*E71+F9*F71+G9*G71+H9*H71+I9*I71</f>
        <v>2.0646276824278149</v>
      </c>
      <c r="K71" s="28">
        <f>C114*100</f>
        <v>1.25</v>
      </c>
      <c r="M71" s="17" t="str">
        <f>'[1]Version 6 (Gains, AA)'!M53</f>
        <v>d1+d2+d3+d4</v>
      </c>
      <c r="N71" s="19">
        <f>J80/100+N70</f>
        <v>4.2177926253216855E-2</v>
      </c>
      <c r="O71" s="19">
        <f>K80/100+O70</f>
        <v>6.5625000000000003E-2</v>
      </c>
      <c r="P71" s="19">
        <f t="shared" si="11"/>
        <v>2.3447073746783148E-2</v>
      </c>
    </row>
    <row r="72" spans="1:16" x14ac:dyDescent="0.2">
      <c r="A72" t="s">
        <v>30</v>
      </c>
      <c r="B72" s="26">
        <f>a^2*e*k^2*m</f>
        <v>2.8136188079999989E-3</v>
      </c>
      <c r="C72" s="26">
        <f>a^2*e*k^2*m</f>
        <v>2.8136188079999989E-3</v>
      </c>
      <c r="D72" s="26">
        <f>a^2*d*k^2*m</f>
        <v>2.4384696336000003E-2</v>
      </c>
      <c r="E72" s="26">
        <f>a*b*d*k^2*m</f>
        <v>5.8952013119999988E-3</v>
      </c>
      <c r="F72" s="26">
        <f>b^2*d*j*k*m</f>
        <v>5.895201311999998E-3</v>
      </c>
      <c r="G72" s="26">
        <f>b^2*d*m*j^2</f>
        <v>2.4384696336E-2</v>
      </c>
      <c r="H72" s="26">
        <f>b^2*d*j^2*n</f>
        <v>2.8136188079999989E-3</v>
      </c>
      <c r="I72" s="26">
        <f>b^2*d*j^2*n</f>
        <v>2.8136188079999989E-3</v>
      </c>
      <c r="J72" s="26">
        <f>B9*B72+C9*C72+D9*D72+E9*E72+F9*F72+G9*G72+H9*H72+I9*I72</f>
        <v>1.1158240135036257</v>
      </c>
      <c r="K72" s="28">
        <f>D113*100</f>
        <v>2.5</v>
      </c>
      <c r="M72" s="17" t="str">
        <f>'[1]Version 6 (Gains, AA)'!M54</f>
        <v>d1+d2+d3+d4+d5</v>
      </c>
      <c r="N72" s="19">
        <f>J75/100+N71</f>
        <v>0.11301293223854897</v>
      </c>
      <c r="O72" s="19">
        <f>K75/100+O71</f>
        <v>0.15937499999999999</v>
      </c>
      <c r="P72" s="19">
        <f t="shared" si="11"/>
        <v>4.636206776145102E-2</v>
      </c>
    </row>
    <row r="73" spans="1:16" x14ac:dyDescent="0.2">
      <c r="A73" t="s">
        <v>31</v>
      </c>
      <c r="B73" s="26">
        <f>a*e^2*k^2*m</f>
        <v>2.7826999199999976E-4</v>
      </c>
      <c r="C73" s="26">
        <f>a*e^2*k^2*m</f>
        <v>2.7826999199999976E-4</v>
      </c>
      <c r="D73" s="26">
        <f>a*d*e*k^2*m</f>
        <v>2.411673263999999E-3</v>
      </c>
      <c r="E73" s="26">
        <f>a*d^2*k^2*m</f>
        <v>2.0901168288E-2</v>
      </c>
      <c r="F73" s="26">
        <f>b*d^2*j*k*m</f>
        <v>2.0901168287999997E-2</v>
      </c>
      <c r="G73" s="26">
        <f>b*d^2*j*k*m</f>
        <v>2.0901168287999997E-2</v>
      </c>
      <c r="H73" s="26">
        <f>b*d^2*j^2*m</f>
        <v>8.6454832464E-2</v>
      </c>
      <c r="I73" s="26">
        <f>b*d^2*j^2*n</f>
        <v>9.9755575919999971E-3</v>
      </c>
      <c r="J73" s="26">
        <f>B9*B73+C9*C73+D9*D73+E9*E73+F9*F73+G9*G73+H9*H73+I9*I73</f>
        <v>1.6061454897620648</v>
      </c>
      <c r="K73" s="28">
        <f>E112*100</f>
        <v>3.125</v>
      </c>
      <c r="M73" s="17" t="str">
        <f>'[1]Version 6 (Gains, AA)'!M55</f>
        <v>d1+d2+d3+d4+d5+d6</v>
      </c>
      <c r="N73" s="19">
        <f>J69/100+N72</f>
        <v>0.25867286078294538</v>
      </c>
      <c r="O73" s="19">
        <f>K69/100+O72</f>
        <v>0.27187499999999998</v>
      </c>
      <c r="P73" s="19">
        <f t="shared" si="11"/>
        <v>1.3202139217054598E-2</v>
      </c>
    </row>
    <row r="74" spans="1:16" x14ac:dyDescent="0.2">
      <c r="A74" t="s">
        <v>32</v>
      </c>
      <c r="B74" s="26">
        <f>e*a^2*k^3</f>
        <v>7.935847919999995E-4</v>
      </c>
      <c r="C74" s="26">
        <f>e*a^2*k^3</f>
        <v>7.935847919999995E-4</v>
      </c>
      <c r="D74" s="26">
        <f>e*a^2*k^3</f>
        <v>7.935847919999995E-4</v>
      </c>
      <c r="E74" s="26">
        <f>e*a^2*k^3</f>
        <v>7.935847919999995E-4</v>
      </c>
      <c r="F74" s="26">
        <f>d*a^2*j*k^2</f>
        <v>2.8448812392000002E-2</v>
      </c>
      <c r="G74" s="26">
        <f>d*a*b*j*k^2</f>
        <v>6.8777348639999991E-3</v>
      </c>
      <c r="H74" s="26">
        <f>d*b^2*j^2*k</f>
        <v>6.8777348639999982E-3</v>
      </c>
      <c r="I74" s="26">
        <f>d*b^2*j^3</f>
        <v>2.8448812391999999E-2</v>
      </c>
      <c r="J74" s="26">
        <f>B9*B74+C9*C74+D9*D74+E9*E74+F9*F74+G9*G74+H9*H74+I9*I74</f>
        <v>0.86264958666935243</v>
      </c>
      <c r="K74" s="28">
        <f>F111*100</f>
        <v>2.1875</v>
      </c>
      <c r="M74" s="17" t="str">
        <f>'[1]Version 6 (Gains, AA)'!M56</f>
        <v>d1+d2+d3+d4+d5+d6+d7</v>
      </c>
      <c r="N74" s="19">
        <f>J62/100+N73</f>
        <v>0.45268491296423452</v>
      </c>
      <c r="O74" s="19">
        <f>K62/100+O73</f>
        <v>0.42812499999999998</v>
      </c>
      <c r="P74" s="19">
        <f t="shared" si="11"/>
        <v>2.4559912964234543E-2</v>
      </c>
    </row>
    <row r="75" spans="1:16" x14ac:dyDescent="0.2">
      <c r="A75" t="s">
        <v>13</v>
      </c>
      <c r="B75" s="26"/>
      <c r="C75" s="26"/>
      <c r="D75" s="26"/>
      <c r="E75" s="26"/>
      <c r="F75" s="26"/>
      <c r="G75" s="26"/>
      <c r="H75" s="26"/>
      <c r="I75" s="26"/>
      <c r="J75" s="26">
        <f>SUM(J70:J74)</f>
        <v>7.0835005985332113</v>
      </c>
      <c r="K75" s="28">
        <f>SUM(K70:K74)</f>
        <v>9.375</v>
      </c>
      <c r="M75" s="17" t="str">
        <f>'[1]Version 6 (Gains, AA)'!M57</f>
        <v>d1+d2+d3+d4+d5+d6+d7+d8</v>
      </c>
      <c r="N75" s="19">
        <f>J54/100+N74</f>
        <v>0.84106278240452614</v>
      </c>
      <c r="O75" s="19">
        <f>K54/100+O74</f>
        <v>0.8</v>
      </c>
      <c r="P75" s="19">
        <f t="shared" si="11"/>
        <v>4.1062782404526099E-2</v>
      </c>
    </row>
    <row r="76" spans="1:16" x14ac:dyDescent="0.2">
      <c r="A76" t="s">
        <v>33</v>
      </c>
      <c r="B76" s="26">
        <f>a^3*k*m^2</f>
        <v>0.100863971208</v>
      </c>
      <c r="C76" s="26">
        <f>a^2*b*k*m^2</f>
        <v>2.4384696335999996E-2</v>
      </c>
      <c r="D76" s="26">
        <f>a*b^2*k*m^2</f>
        <v>5.8952013119999988E-3</v>
      </c>
      <c r="E76" s="26">
        <f>a*b^2*k*m^2</f>
        <v>5.8952013119999988E-3</v>
      </c>
      <c r="F76" s="26">
        <f>b^3*j*m^2</f>
        <v>5.8952013119999988E-3</v>
      </c>
      <c r="G76" s="26">
        <f>b^3*m*j*n</f>
        <v>6.8021553599999956E-4</v>
      </c>
      <c r="H76" s="26">
        <f>b^3*j*n^2</f>
        <v>7.8486407999999922E-5</v>
      </c>
      <c r="I76" s="26">
        <f>b^3*j*n^2</f>
        <v>7.8486407999999922E-5</v>
      </c>
      <c r="J76" s="26">
        <f>B9*B76+C9*C76+D9*D76+E9*E76+F9*F76+G9*G76+H9*H76+I9*I76</f>
        <v>0.583825307710371</v>
      </c>
      <c r="K76" s="28">
        <f>B114*100</f>
        <v>0</v>
      </c>
      <c r="M76" s="17" t="str">
        <f>'[1]Version 6 (Gains, AA)'!M58</f>
        <v>d1 to d9</v>
      </c>
      <c r="N76" s="19">
        <f>J45/100+N75</f>
        <v>0.93526160528068103</v>
      </c>
      <c r="O76" s="19">
        <f>K45/100+O75</f>
        <v>0.921875</v>
      </c>
      <c r="P76" s="19">
        <f t="shared" si="11"/>
        <v>1.338660528068103E-2</v>
      </c>
    </row>
    <row r="77" spans="1:16" x14ac:dyDescent="0.2">
      <c r="A77" t="s">
        <v>34</v>
      </c>
      <c r="B77" s="26">
        <f>a^2*e*k^2*m</f>
        <v>2.8136188079999989E-3</v>
      </c>
      <c r="C77" s="26">
        <f>a*d^2*k^2*m</f>
        <v>2.0901168288E-2</v>
      </c>
      <c r="D77" s="26">
        <f>a*d*b*k^2*m</f>
        <v>5.8952013119999988E-3</v>
      </c>
      <c r="E77" s="26">
        <f>a*d*b*k^2*m</f>
        <v>5.8952013119999988E-3</v>
      </c>
      <c r="F77" s="26">
        <f>b^2*d*j*k*m</f>
        <v>5.895201311999998E-3</v>
      </c>
      <c r="G77" s="26">
        <f>b^2*d*m*j^2</f>
        <v>2.4384696336E-2</v>
      </c>
      <c r="H77" s="26">
        <f>b^2*d*j^2*n</f>
        <v>2.8136188079999989E-3</v>
      </c>
      <c r="I77" s="26">
        <f>b^2*d*j^2*n</f>
        <v>2.8136188079999989E-3</v>
      </c>
      <c r="J77" s="26">
        <f>B9*B77+C9*C77+D9*D77+E9*E77+F9*F77+G9*G77+H9*H77+I9*I77</f>
        <v>0.64187073369850078</v>
      </c>
      <c r="K77" s="28">
        <f>C113*100</f>
        <v>0.3125</v>
      </c>
      <c r="M77" s="17" t="str">
        <f>'[1]Version 6 (Gains, AA)'!M59</f>
        <v>d1 to d10</v>
      </c>
      <c r="N77" s="19">
        <f>J37/100+N76</f>
        <v>0.98334868662535491</v>
      </c>
      <c r="O77" s="19">
        <f>K37/100+O76</f>
        <v>0.98124999999999996</v>
      </c>
      <c r="P77" s="19">
        <f t="shared" si="11"/>
        <v>2.0986866253549508E-3</v>
      </c>
    </row>
    <row r="78" spans="1:16" x14ac:dyDescent="0.2">
      <c r="A78" t="s">
        <v>35</v>
      </c>
      <c r="B78" s="26">
        <f>a^2*e*k^2*m</f>
        <v>2.8136188079999989E-3</v>
      </c>
      <c r="C78" s="26">
        <f>a^2*e*k^2*m</f>
        <v>2.8136188079999989E-3</v>
      </c>
      <c r="D78" s="26">
        <f>a^2*d*k^2*m</f>
        <v>2.4384696336000003E-2</v>
      </c>
      <c r="E78" s="26">
        <f>a*d*b*k^2*m</f>
        <v>5.8952013119999988E-3</v>
      </c>
      <c r="F78" s="26">
        <f>b^2*d*m*j*k</f>
        <v>5.8952013119999988E-3</v>
      </c>
      <c r="G78" s="26">
        <f>b^2*d*m*j*k</f>
        <v>5.8952013119999988E-3</v>
      </c>
      <c r="H78" s="26">
        <f>b^2*d*j^2*m</f>
        <v>2.4384696335999996E-2</v>
      </c>
      <c r="I78" s="26">
        <f>b^2*d*j^2*n</f>
        <v>2.8136188079999989E-3</v>
      </c>
      <c r="J78" s="26">
        <f>B9*B78+C9*C78+D9*D78+E9*E78+F9*F78+G9*G78+H9*H78+I9*I78</f>
        <v>1.0717620058702859</v>
      </c>
      <c r="K78" s="28">
        <f>D112*100</f>
        <v>1.5625</v>
      </c>
      <c r="M78" s="17" t="str">
        <f>'[1]Version 6 (Gains, AA)'!M60</f>
        <v>d1 to d11</v>
      </c>
      <c r="N78" s="19">
        <f>J30/100+N77</f>
        <v>0.99620941597084978</v>
      </c>
      <c r="O78" s="19">
        <f>K30/100+O77</f>
        <v>0.99374999999999991</v>
      </c>
      <c r="P78" s="19">
        <f t="shared" si="11"/>
        <v>2.4594159708498653E-3</v>
      </c>
    </row>
    <row r="79" spans="1:16" x14ac:dyDescent="0.2">
      <c r="A79" t="s">
        <v>36</v>
      </c>
      <c r="B79" s="26">
        <f>a*e^2*k^3</f>
        <v>7.8486407999999908E-5</v>
      </c>
      <c r="C79" s="26">
        <f>a*e^2*k^3</f>
        <v>7.8486407999999908E-5</v>
      </c>
      <c r="D79" s="26">
        <f>a*d*e*k^3</f>
        <v>6.8021553599999956E-4</v>
      </c>
      <c r="E79" s="26">
        <f>a*d^2*k^3</f>
        <v>5.895201311999998E-3</v>
      </c>
      <c r="F79" s="26">
        <f>b*d^2*j*k^2</f>
        <v>5.8952013119999988E-3</v>
      </c>
      <c r="G79" s="26">
        <f>b*d^2*j*k^2</f>
        <v>5.8952013119999988E-3</v>
      </c>
      <c r="H79" s="26">
        <f>b*d^2*j^2*k</f>
        <v>2.4384696336E-2</v>
      </c>
      <c r="I79" s="26">
        <f>b*d^2*j^3</f>
        <v>0.100863971208</v>
      </c>
      <c r="J79" s="26">
        <f>B9*B79+C9*C79+D9*D79+E9*E79+F9*F79+G9*G79+H9*H79+I9*I79</f>
        <v>0.45302279027846565</v>
      </c>
      <c r="K79" s="28">
        <f>E111*100</f>
        <v>2.1875</v>
      </c>
      <c r="M79" s="17" t="str">
        <f>'[1]Version 6 (Gains, AA)'!M61</f>
        <v>d1 to d12</v>
      </c>
      <c r="N79" s="19">
        <f>J24/100+N78</f>
        <v>0.99906036138587384</v>
      </c>
      <c r="O79" s="19">
        <f>K24/100+O78</f>
        <v>0.99999999999999989</v>
      </c>
      <c r="P79" s="19">
        <f t="shared" si="11"/>
        <v>9.3963861412604821E-4</v>
      </c>
    </row>
    <row r="80" spans="1:16" x14ac:dyDescent="0.2">
      <c r="A80" t="s">
        <v>13</v>
      </c>
      <c r="B80" s="26"/>
      <c r="C80" s="26"/>
      <c r="D80" s="26"/>
      <c r="E80" s="26"/>
      <c r="F80" s="26"/>
      <c r="G80" s="26"/>
      <c r="H80" s="26"/>
      <c r="I80" s="26"/>
      <c r="J80" s="26">
        <f>SUM(J76:J79)</f>
        <v>2.7504808375576233</v>
      </c>
      <c r="K80" s="28">
        <f>SUM(K76:K79)</f>
        <v>4.0625</v>
      </c>
      <c r="M80" s="17" t="str">
        <f>'[1]Version 6 (Gains, AA)'!M62</f>
        <v>d1 to d13</v>
      </c>
      <c r="N80" s="19">
        <f>J19/100+N79</f>
        <v>0.9997475829817285</v>
      </c>
      <c r="O80" s="19">
        <f>K19/100+O79</f>
        <v>0.99999999999999989</v>
      </c>
      <c r="P80" s="19">
        <f t="shared" si="11"/>
        <v>2.5241701827138918E-4</v>
      </c>
    </row>
    <row r="81" spans="1:16" x14ac:dyDescent="0.2">
      <c r="A81" t="s">
        <v>37</v>
      </c>
      <c r="B81" s="26">
        <f>a^3*k^2*m</f>
        <v>2.8448812392000002E-2</v>
      </c>
      <c r="C81" s="26">
        <f>a^2*b*k^2*m</f>
        <v>6.8777348639999982E-3</v>
      </c>
      <c r="D81" s="26">
        <f>a*b^2*k^2*m</f>
        <v>1.6627490879999993E-3</v>
      </c>
      <c r="E81" s="26">
        <f>a*b^2*k^2*m</f>
        <v>1.6627490879999993E-3</v>
      </c>
      <c r="F81" s="26">
        <f>b^3*j*k*m</f>
        <v>1.6627490879999993E-3</v>
      </c>
      <c r="G81" s="26">
        <f>b^3*j^2*m</f>
        <v>6.8777348639999982E-3</v>
      </c>
      <c r="H81" s="26">
        <f>b^3*j^2*n</f>
        <v>7.935847919999995E-4</v>
      </c>
      <c r="I81" s="26">
        <f>b^3*j^2*n</f>
        <v>7.935847919999995E-4</v>
      </c>
      <c r="J81" s="26">
        <f>B9*B81+C9*C81+D9*D81+E9*E81+F9*F81+G9*G81+H9*H81+I9*I81</f>
        <v>0.18146196725222905</v>
      </c>
      <c r="K81" s="28">
        <f>B113*100</f>
        <v>0</v>
      </c>
      <c r="M81" s="17" t="str">
        <f>'[1]Version 6 (Gains, AA)'!M63</f>
        <v>d1 to d14</v>
      </c>
      <c r="N81" s="19">
        <f>J15/100+N80</f>
        <v>0.9998445039002648</v>
      </c>
      <c r="O81" s="19">
        <f>K15/100+O80</f>
        <v>0.99999999999999989</v>
      </c>
      <c r="P81" s="19">
        <f t="shared" si="11"/>
        <v>1.5549609973508627E-4</v>
      </c>
    </row>
    <row r="82" spans="1:16" x14ac:dyDescent="0.2">
      <c r="A82" t="s">
        <v>38</v>
      </c>
      <c r="B82" s="26">
        <f>a^2*e*k^2*m</f>
        <v>2.8136188079999989E-3</v>
      </c>
      <c r="C82" s="26">
        <f>a*d^2*k^2*m</f>
        <v>2.0901168288E-2</v>
      </c>
      <c r="D82" s="26">
        <f>a*d*b*k^2*m</f>
        <v>5.8952013119999988E-3</v>
      </c>
      <c r="E82" s="26">
        <f>a*d*b*k^2*m</f>
        <v>5.8952013119999988E-3</v>
      </c>
      <c r="F82" s="26">
        <f>b^2*d*j*k*m</f>
        <v>5.895201311999998E-3</v>
      </c>
      <c r="G82" s="26">
        <f>b^2*d*j*k*m</f>
        <v>5.895201311999998E-3</v>
      </c>
      <c r="H82" s="26">
        <f>b^2*d*j^2*m</f>
        <v>2.4384696335999996E-2</v>
      </c>
      <c r="I82" s="26">
        <f>b^2*d*j^2*n</f>
        <v>2.8136188079999989E-3</v>
      </c>
      <c r="J82" s="26">
        <f>B9*B82+C9*C82+D9*D82+E9*E82+F9*F82+G9*G82+H9*H82+I9*I82</f>
        <v>0.59780872606516078</v>
      </c>
      <c r="K82" s="28">
        <f>C112*100</f>
        <v>0.625</v>
      </c>
      <c r="M82" s="17" t="str">
        <f>'[1]Version 6 (Gains, AA)'!M64</f>
        <v>d1 to d15</v>
      </c>
      <c r="N82" s="19">
        <f>J12/100+N81</f>
        <v>0.99984929683652624</v>
      </c>
      <c r="O82" s="19">
        <f>K12/100+O81</f>
        <v>0.99999999999999989</v>
      </c>
      <c r="P82" s="19">
        <f t="shared" si="11"/>
        <v>1.5070316347365331E-4</v>
      </c>
    </row>
    <row r="83" spans="1:16" x14ac:dyDescent="0.2">
      <c r="A83" t="s">
        <v>39</v>
      </c>
      <c r="B83" s="26">
        <f>a^2*e*k^3</f>
        <v>7.935847919999995E-4</v>
      </c>
      <c r="C83" s="26">
        <f>a^2*e*k^3</f>
        <v>7.935847919999995E-4</v>
      </c>
      <c r="D83" s="26">
        <f>a^2*d*k^3</f>
        <v>6.8777348639999982E-3</v>
      </c>
      <c r="E83" s="26">
        <f>a*d*b*k^3</f>
        <v>1.6627490879999993E-3</v>
      </c>
      <c r="F83" s="26">
        <f>b^2*d*j*k^2</f>
        <v>1.6627490879999995E-3</v>
      </c>
      <c r="G83" s="26">
        <f>b^2*d*j*k^2</f>
        <v>1.6627490879999995E-3</v>
      </c>
      <c r="H83" s="26">
        <f>b^2*d*j^2*k</f>
        <v>6.8777348639999982E-3</v>
      </c>
      <c r="I83" s="26">
        <f>b^2*d*j^3</f>
        <v>2.8448812391999999E-2</v>
      </c>
      <c r="J83" s="26">
        <f>B9*B83+C9*C83+D9*D83+E9*E83+F9*F83+G9*G83+H9*H83+I9*I83</f>
        <v>0.30229393378474972</v>
      </c>
      <c r="K83" s="28">
        <f>D111*100</f>
        <v>0.625</v>
      </c>
      <c r="M83" s="17" t="str">
        <f>'[1]Version 6 (Gains, AA)'!M65</f>
        <v>maximum diff</v>
      </c>
      <c r="N83" s="17"/>
      <c r="O83" s="17"/>
      <c r="P83" s="26">
        <f>MAX(P68:P82)</f>
        <v>4.636206776145102E-2</v>
      </c>
    </row>
    <row r="84" spans="1:16" x14ac:dyDescent="0.2">
      <c r="A84" t="s">
        <v>13</v>
      </c>
      <c r="B84" s="26"/>
      <c r="C84" s="26"/>
      <c r="D84" s="26"/>
      <c r="E84" s="26"/>
      <c r="F84" s="26"/>
      <c r="G84" s="26"/>
      <c r="H84" s="26"/>
      <c r="I84" s="26"/>
      <c r="J84" s="26">
        <f>SUM(J81:J83)</f>
        <v>1.0815646271021395</v>
      </c>
      <c r="K84" s="28">
        <f>SUM(K81:K83)</f>
        <v>1.25</v>
      </c>
      <c r="M84" s="17" t="str">
        <f>'[1]Version 6 (Gains, AA)'!M66</f>
        <v>r1+r2 compared to r1+r2</v>
      </c>
      <c r="N84" s="17"/>
      <c r="O84" s="17"/>
      <c r="P84" s="17"/>
    </row>
    <row r="85" spans="1:16" x14ac:dyDescent="0.2">
      <c r="A85" t="s">
        <v>40</v>
      </c>
      <c r="B85" s="26">
        <f>a^3*k^2*m</f>
        <v>2.8448812392000002E-2</v>
      </c>
      <c r="C85" s="26">
        <f>a^2*b*k^2*m</f>
        <v>6.8777348639999982E-3</v>
      </c>
      <c r="D85" s="26">
        <f>a*b^2*k^2*m</f>
        <v>1.6627490879999993E-3</v>
      </c>
      <c r="E85" s="26">
        <f>a*b^2*k^2*m</f>
        <v>1.6627490879999993E-3</v>
      </c>
      <c r="F85" s="26">
        <f>b^3*m*k*j</f>
        <v>1.6627490879999993E-3</v>
      </c>
      <c r="G85" s="26">
        <f>b^3*m*k*j</f>
        <v>1.6627490879999993E-3</v>
      </c>
      <c r="H85" s="26">
        <f>b^3*j^2*m</f>
        <v>6.8777348639999982E-3</v>
      </c>
      <c r="I85" s="26">
        <f>b^3*j^2*n</f>
        <v>7.935847919999995E-4</v>
      </c>
      <c r="J85" s="26">
        <f>B9*B85+C9*C85+D9*D85+E9*E85+F9*F85+G9*G85+H9*H85+I9*I85</f>
        <v>0.16903422150949213</v>
      </c>
      <c r="K85" s="28">
        <f>B112*100</f>
        <v>0</v>
      </c>
      <c r="M85" s="17" t="str">
        <f>'[1]Version 6 (Gains, AA)'!M67</f>
        <v>od1</v>
      </c>
      <c r="N85" s="19">
        <f>I97</f>
        <v>9.9867888001886688E-5</v>
      </c>
      <c r="O85" s="19">
        <f>I111</f>
        <v>9.3749999999999997E-3</v>
      </c>
      <c r="P85" s="19">
        <f>ABS(N85-O85)</f>
        <v>9.2751321119981123E-3</v>
      </c>
    </row>
    <row r="86" spans="1:16" x14ac:dyDescent="0.2">
      <c r="A86" t="s">
        <v>41</v>
      </c>
      <c r="B86" s="26">
        <f>a^2*e*k^3</f>
        <v>7.935847919999995E-4</v>
      </c>
      <c r="C86" s="26">
        <f>a^2*d*k^3</f>
        <v>6.8777348639999982E-3</v>
      </c>
      <c r="D86" s="26">
        <f>a*d*b*k^3</f>
        <v>1.6627490879999993E-3</v>
      </c>
      <c r="E86" s="26">
        <f>a*d*b*k^3</f>
        <v>1.6627490879999993E-3</v>
      </c>
      <c r="F86" s="26">
        <f>b^2*d*j*k^2</f>
        <v>1.6627490879999995E-3</v>
      </c>
      <c r="G86" s="26">
        <f>b^2*d*j*k^2</f>
        <v>1.6627490879999995E-3</v>
      </c>
      <c r="H86" s="26">
        <f>b^2*d*j^2*k</f>
        <v>6.8777348639999982E-3</v>
      </c>
      <c r="I86" s="26">
        <f>b^2*d*j^3</f>
        <v>2.8448812391999999E-2</v>
      </c>
      <c r="J86" s="26">
        <f>B9*B86+C9*C86+D9*D86+E9*E86+F9*F86+G9*G86+H9*H86+I9*I86</f>
        <v>0.16903603191316391</v>
      </c>
      <c r="K86" s="28">
        <f>C111*100</f>
        <v>0.9375</v>
      </c>
      <c r="M86" s="17" t="str">
        <f>'[1]Version 6 (Gains, AA)'!M68</f>
        <v>od1 to od2</v>
      </c>
      <c r="N86" s="19">
        <f>H97+I98+N85</f>
        <v>1.4601393386437346E-3</v>
      </c>
      <c r="O86" s="19">
        <f>O85+H111+I112</f>
        <v>1.8749999999999999E-2</v>
      </c>
      <c r="P86" s="19">
        <f t="shared" ref="P86:P99" si="12">ABS(N86-O86)</f>
        <v>1.7289860661356266E-2</v>
      </c>
    </row>
    <row r="87" spans="1:16" x14ac:dyDescent="0.2">
      <c r="A87" t="s">
        <v>13</v>
      </c>
      <c r="B87" s="26"/>
      <c r="C87" s="26"/>
      <c r="D87" s="26"/>
      <c r="E87" s="26"/>
      <c r="F87" s="26"/>
      <c r="G87" s="26"/>
      <c r="H87" s="26"/>
      <c r="I87" s="26"/>
      <c r="J87" s="26">
        <f>SUM(J85:J86)</f>
        <v>0.33807025342265606</v>
      </c>
      <c r="K87" s="28">
        <f>SUM(K85:K86)</f>
        <v>0.9375</v>
      </c>
      <c r="M87" s="17" t="str">
        <f>'[1]Version 6 (Gains, AA)'!M69</f>
        <v>od1 to od3</v>
      </c>
      <c r="N87" s="19">
        <f>G97+H98+I99+N86</f>
        <v>6.8993859745208417E-3</v>
      </c>
      <c r="O87" s="19">
        <f>O86+G111+H112+I113</f>
        <v>3.7499999999999999E-2</v>
      </c>
      <c r="P87" s="19">
        <f t="shared" si="12"/>
        <v>3.0600614025479159E-2</v>
      </c>
    </row>
    <row r="88" spans="1:16" x14ac:dyDescent="0.2">
      <c r="A88" t="s">
        <v>42</v>
      </c>
      <c r="B88" s="26">
        <f>a^3*k^3</f>
        <v>8.0240240079999976E-3</v>
      </c>
      <c r="C88" s="26">
        <f>a^2*b*k^3</f>
        <v>1.939873935999999E-3</v>
      </c>
      <c r="D88" s="26">
        <f>a*b^2*k^3</f>
        <v>4.6898051199999977E-4</v>
      </c>
      <c r="E88" s="26">
        <f>a*b^2*k^3</f>
        <v>4.6898051199999977E-4</v>
      </c>
      <c r="F88" s="26">
        <f>b^3*j*k^2</f>
        <v>4.6898051199999977E-4</v>
      </c>
      <c r="G88" s="26">
        <f>b^3*j*k^2</f>
        <v>4.6898051199999977E-4</v>
      </c>
      <c r="H88" s="26">
        <f>b^3*j^2*k</f>
        <v>1.9398739359999992E-3</v>
      </c>
      <c r="I88" s="26">
        <f>b^3*j^3</f>
        <v>8.0240240079999976E-3</v>
      </c>
      <c r="J88" s="26">
        <f>B9*B88+C9*C88+D9*D88+E9*E88+F9*F88+G9*G88+H9*H88+I9*I88</f>
        <v>4.7676907239267076E-2</v>
      </c>
      <c r="K88" s="28">
        <f>B111*100</f>
        <v>0.3125</v>
      </c>
      <c r="M88" s="17" t="str">
        <f>'[1]Version 6 (Gains, AA)'!M70</f>
        <v>od1 to od 4</v>
      </c>
      <c r="N88" s="19">
        <f>+F97+G98+H99+I100+N87</f>
        <v>2.5820695427178304E-2</v>
      </c>
      <c r="O88" s="19">
        <f>O87+F111+G112+H113+I114</f>
        <v>6.8750000000000006E-2</v>
      </c>
      <c r="P88" s="19">
        <f t="shared" si="12"/>
        <v>4.2929304572821701E-2</v>
      </c>
    </row>
    <row r="89" spans="1:16" x14ac:dyDescent="0.2">
      <c r="B89" s="26"/>
      <c r="C89" s="26"/>
      <c r="D89" s="26"/>
      <c r="E89" s="26"/>
      <c r="F89" s="26"/>
      <c r="G89" s="26"/>
      <c r="H89" s="26"/>
      <c r="I89" s="26"/>
      <c r="J89" s="26">
        <f>J88</f>
        <v>4.7676907239267076E-2</v>
      </c>
      <c r="K89" s="28">
        <f>K88</f>
        <v>0.3125</v>
      </c>
      <c r="M89" s="17" t="str">
        <f>'[1]Version 6 (Gains, AA)'!M71</f>
        <v>od1 to od5</v>
      </c>
      <c r="N89" s="19">
        <f>E97+F98+G99+H100+I101+N88</f>
        <v>8.3836583324490441E-2</v>
      </c>
      <c r="O89" s="19">
        <f>O88+E111+F112+G113+H114+I115</f>
        <v>0.13125000000000001</v>
      </c>
      <c r="P89" s="19">
        <f t="shared" si="12"/>
        <v>4.7413416675509565E-2</v>
      </c>
    </row>
    <row r="90" spans="1:16" x14ac:dyDescent="0.2">
      <c r="B90" s="26"/>
      <c r="C90" s="26"/>
      <c r="D90" s="26"/>
      <c r="E90" s="26"/>
      <c r="F90" s="26"/>
      <c r="G90" s="26"/>
      <c r="H90" s="26"/>
      <c r="I90" s="26"/>
      <c r="J90" s="26"/>
      <c r="M90" s="17" t="str">
        <f>'[1]Version 6 (Gains, AA)'!M72</f>
        <v>od1 to od6</v>
      </c>
      <c r="N90" s="19">
        <f>D97+E98+F99+G100+H101+I102+N89</f>
        <v>0.15076175683574478</v>
      </c>
      <c r="O90" s="19">
        <f>O89+D111+E112+F113+G114+H115+I116</f>
        <v>0.19375000000000001</v>
      </c>
      <c r="P90" s="19">
        <f t="shared" si="12"/>
        <v>4.298824316425523E-2</v>
      </c>
    </row>
    <row r="91" spans="1:16" x14ac:dyDescent="0.2">
      <c r="B91" s="26"/>
      <c r="C91" s="26"/>
      <c r="D91" s="26"/>
      <c r="E91" s="26"/>
      <c r="F91" s="26"/>
      <c r="G91" s="26" t="s">
        <v>116</v>
      </c>
      <c r="H91" s="26"/>
      <c r="I91" s="26"/>
      <c r="J91" s="26">
        <f>J12+J15+J19+J24+J30+J37+J45+J54+J62+J69+J75+J80+J84+J87+J89</f>
        <v>99.984929683652595</v>
      </c>
      <c r="K91" s="28">
        <f>K12+K15+K19+K24+K30+K37+K45+K54+K62+K69+K75+K80+K84+K87+K89</f>
        <v>100</v>
      </c>
      <c r="M91" s="17" t="str">
        <f>'[1]Version 6 (Gains, AA)'!M73</f>
        <v>od1 to od7</v>
      </c>
      <c r="N91" s="19">
        <f>C97+D98+E99+F100+G101+H102+I103+N90</f>
        <v>0.29341656582071451</v>
      </c>
      <c r="O91" s="19">
        <f>O90+C111+D112+E113+F114+G115+H116+I117</f>
        <v>0.35</v>
      </c>
      <c r="P91" s="19">
        <f t="shared" si="12"/>
        <v>5.6583434179285463E-2</v>
      </c>
    </row>
    <row r="92" spans="1:16" x14ac:dyDescent="0.2">
      <c r="M92" s="17" t="str">
        <f>'[1]Version 6 (Gains, AA)'!M74</f>
        <v>od1 to od8</v>
      </c>
      <c r="N92" s="19">
        <f>B97+C98+D99+E100+F101+G102+H103+I104+N91</f>
        <v>0.40550580147294008</v>
      </c>
      <c r="O92" s="19">
        <f>O91+B111+C112+D113+E114+F115+G116+H117+I118</f>
        <v>0.47499999999999998</v>
      </c>
      <c r="P92" s="19">
        <f t="shared" si="12"/>
        <v>6.9494198527059903E-2</v>
      </c>
    </row>
    <row r="93" spans="1:16" x14ac:dyDescent="0.2">
      <c r="M93" s="17" t="str">
        <f>'[1]Version 6 (Gains, AA)'!M75</f>
        <v>od1 to od9</v>
      </c>
      <c r="N93" s="19">
        <f>B98+C99+D100+E101+F102+G103+H104+N92</f>
        <v>0.62588350653260338</v>
      </c>
      <c r="O93" s="19">
        <f>O92+B112+C113+D114+E115+F116+G117+H118</f>
        <v>0.70312499999999989</v>
      </c>
      <c r="P93" s="19">
        <f t="shared" si="12"/>
        <v>7.7241493467396505E-2</v>
      </c>
    </row>
    <row r="94" spans="1:16" x14ac:dyDescent="0.2">
      <c r="M94" s="17" t="str">
        <f>'[1]Version 6 (Gains, AA)'!M76</f>
        <v>od1 to od10</v>
      </c>
      <c r="N94" s="19">
        <f>B99+C100+D101+E102+F103+G104+N93</f>
        <v>0.74869291150959305</v>
      </c>
      <c r="O94" s="19">
        <f>O93+B113+C114+D115+E116+F117+G118</f>
        <v>0.84062499999999984</v>
      </c>
      <c r="P94" s="19">
        <f t="shared" si="12"/>
        <v>9.1932088490406794E-2</v>
      </c>
    </row>
    <row r="95" spans="1:16" ht="15" x14ac:dyDescent="0.25">
      <c r="A95" s="3" t="s">
        <v>139</v>
      </c>
      <c r="B95" s="4"/>
      <c r="C95" s="4"/>
      <c r="D95" s="4"/>
      <c r="E95" s="4"/>
      <c r="F95" s="4"/>
      <c r="G95" s="4"/>
      <c r="H95" s="4"/>
      <c r="I95" s="4"/>
      <c r="M95" s="18" t="str">
        <f>'[1]Version 6 (Gains, AA)'!M77</f>
        <v>od1 to od11</v>
      </c>
      <c r="N95" s="19">
        <f>B100+C101+D102+E103+F104+N94</f>
        <v>0.92009246624399899</v>
      </c>
      <c r="O95" s="19">
        <f>O94+B114+C115+D116+E117+F118</f>
        <v>0.92812499999999976</v>
      </c>
      <c r="P95" s="19">
        <f t="shared" si="12"/>
        <v>8.0325337560007704E-3</v>
      </c>
    </row>
    <row r="96" spans="1:16" ht="15" x14ac:dyDescent="0.25">
      <c r="A96" s="5" t="s">
        <v>127</v>
      </c>
      <c r="J96" t="s">
        <v>96</v>
      </c>
      <c r="M96" s="20" t="str">
        <f>'[1]Version 6 (Gains, AA)'!M78</f>
        <v>od1 to od12</v>
      </c>
      <c r="N96" s="19">
        <f>B101+C102+D103+E104+N95</f>
        <v>0.97863138891028401</v>
      </c>
      <c r="O96" s="19">
        <f>O95+B115+C116+D117+E118</f>
        <v>0.95937499999999987</v>
      </c>
      <c r="P96" s="19">
        <f t="shared" si="12"/>
        <v>1.9256388910284139E-2</v>
      </c>
    </row>
    <row r="97" spans="1:16" ht="15" x14ac:dyDescent="0.25">
      <c r="A97" s="6" t="s">
        <v>128</v>
      </c>
      <c r="B97" s="11">
        <f>J88/100</f>
        <v>4.7676907239267079E-4</v>
      </c>
      <c r="C97" s="11">
        <f>J86/100</f>
        <v>1.690360319131639E-3</v>
      </c>
      <c r="D97" s="11">
        <f>J83/100</f>
        <v>3.022939337847497E-3</v>
      </c>
      <c r="E97" s="11">
        <f>J79/100</f>
        <v>4.5302279027846564E-3</v>
      </c>
      <c r="F97" s="11">
        <f>J74/100</f>
        <v>8.6264958666935239E-3</v>
      </c>
      <c r="G97" s="11">
        <f>J68/100</f>
        <v>1.4696845399289841E-3</v>
      </c>
      <c r="H97" s="11">
        <f>J61/100</f>
        <v>1.0071240548021375E-3</v>
      </c>
      <c r="I97" s="11">
        <f>J53/100</f>
        <v>9.9867888001886688E-5</v>
      </c>
      <c r="J97" s="24">
        <f>SUM(B97:I97)</f>
        <v>2.0923468981582996E-2</v>
      </c>
      <c r="M97" s="21" t="str">
        <f>'[1]Version 6 (Gains, AA)'!M79</f>
        <v>od1 to od13</v>
      </c>
      <c r="N97" s="19">
        <f>B102+C103+D104+N96</f>
        <v>0.99636479886404283</v>
      </c>
      <c r="O97" s="19">
        <f>O96+B116+C117</f>
        <v>0.97812499999999991</v>
      </c>
      <c r="P97" s="19">
        <f t="shared" si="12"/>
        <v>1.8239798864042922E-2</v>
      </c>
    </row>
    <row r="98" spans="1:16" ht="15" x14ac:dyDescent="0.25">
      <c r="A98" s="7" t="s">
        <v>129</v>
      </c>
      <c r="B98" s="11">
        <f>J85/100</f>
        <v>1.6903422150949213E-3</v>
      </c>
      <c r="C98" s="11">
        <f>J82/100</f>
        <v>5.9780872606516079E-3</v>
      </c>
      <c r="D98" s="11">
        <f>J78/100</f>
        <v>1.0717620058702859E-2</v>
      </c>
      <c r="E98" s="11">
        <f>J73/100</f>
        <v>1.6061454897620647E-2</v>
      </c>
      <c r="F98" s="11">
        <f>J67/100</f>
        <v>3.0584775024611498E-2</v>
      </c>
      <c r="G98" s="11">
        <f>J60/100</f>
        <v>5.2104375202232656E-3</v>
      </c>
      <c r="H98" s="11">
        <f>J52/100</f>
        <v>3.5704503456826268E-3</v>
      </c>
      <c r="I98" s="11">
        <f>J44/100</f>
        <v>3.5314739583971051E-4</v>
      </c>
      <c r="J98" s="24">
        <f t="shared" ref="J98:J104" si="13">SUM(B98:I98)</f>
        <v>7.4166314718427134E-2</v>
      </c>
      <c r="M98" s="21" t="str">
        <f>'[1]Version 6 (Gains, AA)'!M80</f>
        <v>od1 to od14</v>
      </c>
      <c r="N98" s="19">
        <f>B103+C104+N97</f>
        <v>0.99961152141779008</v>
      </c>
      <c r="O98" s="19">
        <f>O97+B117+C118</f>
        <v>0.98124999999999996</v>
      </c>
      <c r="P98" s="19">
        <f t="shared" si="12"/>
        <v>1.8361521417790128E-2</v>
      </c>
    </row>
    <row r="99" spans="1:16" ht="15" x14ac:dyDescent="0.25">
      <c r="A99" t="s">
        <v>130</v>
      </c>
      <c r="B99" s="11">
        <f>J81/100</f>
        <v>1.8146196725222904E-3</v>
      </c>
      <c r="C99" s="11">
        <f>J77/100</f>
        <v>6.4187073369850077E-3</v>
      </c>
      <c r="D99" s="11">
        <f>J72/100</f>
        <v>1.1158240135036256E-2</v>
      </c>
      <c r="E99" s="11">
        <f>J66/100</f>
        <v>1.762365335007543E-2</v>
      </c>
      <c r="F99" s="11">
        <f>J59/100</f>
        <v>3.2475236242581092E-2</v>
      </c>
      <c r="G99" s="11">
        <f>J51/100</f>
        <v>1.1912981838479095E-2</v>
      </c>
      <c r="H99" s="11">
        <f>J43/100</f>
        <v>4.0352010404322396E-3</v>
      </c>
      <c r="I99" s="11">
        <f>J36/100</f>
        <v>3.9911175026549638E-4</v>
      </c>
      <c r="J99" s="24">
        <f t="shared" si="13"/>
        <v>8.5837751366376919E-2</v>
      </c>
      <c r="M99" s="21" t="str">
        <f>'[1]Version 6 (Gains, AA)'!M81</f>
        <v>od1 to od15</v>
      </c>
      <c r="N99" s="19">
        <f>B104+N98</f>
        <v>0.9998492968365259</v>
      </c>
      <c r="O99" s="19">
        <f>O98+B118</f>
        <v>0.99374999999999991</v>
      </c>
      <c r="P99" s="19">
        <f t="shared" si="12"/>
        <v>6.0992968365259914E-3</v>
      </c>
    </row>
    <row r="100" spans="1:16" ht="15" x14ac:dyDescent="0.25">
      <c r="A100" t="s">
        <v>131</v>
      </c>
      <c r="B100" s="11">
        <f>J76/100</f>
        <v>5.8382530771037104E-3</v>
      </c>
      <c r="C100" s="11">
        <f>J71/100</f>
        <v>2.0646276824278151E-2</v>
      </c>
      <c r="D100" s="11">
        <f>J65/100</f>
        <v>3.7450074926459846E-2</v>
      </c>
      <c r="E100" s="11">
        <f>J58/100</f>
        <v>5.4999555249946173E-2</v>
      </c>
      <c r="F100" s="11">
        <f>J50/100</f>
        <v>0.10643832776824574</v>
      </c>
      <c r="G100" s="11">
        <f>J42/100</f>
        <v>1.138742050064531E-2</v>
      </c>
      <c r="H100" s="11">
        <f>J35/100</f>
        <v>1.0608299322816501E-2</v>
      </c>
      <c r="I100" s="11">
        <f>J29/100</f>
        <v>1.049175025308434E-3</v>
      </c>
      <c r="J100" s="24">
        <f t="shared" si="13"/>
        <v>0.24841738269480387</v>
      </c>
      <c r="M100" s="21" t="str">
        <f>'[1]Version 6 (Gains, AA)'!M82</f>
        <v>maximum diff</v>
      </c>
      <c r="N100" s="19"/>
      <c r="O100" s="19"/>
      <c r="P100" s="19">
        <f>MAX(P85:P99)</f>
        <v>9.1932088490406794E-2</v>
      </c>
    </row>
    <row r="101" spans="1:16" ht="15" x14ac:dyDescent="0.25">
      <c r="A101" t="s">
        <v>132</v>
      </c>
      <c r="B101" s="11">
        <f>J70/100</f>
        <v>1.4342538261703531E-2</v>
      </c>
      <c r="C101" s="11">
        <f>J64/100</f>
        <v>5.0835873244082126E-2</v>
      </c>
      <c r="D101" s="11">
        <f>J57/100</f>
        <v>7.0683511505400046E-2</v>
      </c>
      <c r="E101" s="11">
        <f>J49/100</f>
        <v>0.15999459064833496</v>
      </c>
      <c r="F101" s="11">
        <f>J41/100</f>
        <v>3.7477432130747321E-2</v>
      </c>
      <c r="G101" s="11">
        <f>J34/100</f>
        <v>4.7191530000605117E-3</v>
      </c>
      <c r="H101" s="11">
        <f>J28/100</f>
        <v>3.837954074909528E-3</v>
      </c>
      <c r="I101" s="11">
        <f>J23/100</f>
        <v>3.7960380862039314E-4</v>
      </c>
      <c r="J101" s="24">
        <f t="shared" si="13"/>
        <v>0.34227065667385853</v>
      </c>
      <c r="M101" s="22"/>
    </row>
    <row r="102" spans="1:16" ht="15" x14ac:dyDescent="0.25">
      <c r="A102" t="s">
        <v>133</v>
      </c>
      <c r="B102" s="11">
        <f>J63/100</f>
        <v>7.6958674592385069E-3</v>
      </c>
      <c r="C102" s="11">
        <f>J56/100</f>
        <v>2.7232364179119704E-2</v>
      </c>
      <c r="D102" s="11">
        <f>J48/100</f>
        <v>9.7601263469246843E-2</v>
      </c>
      <c r="E102" s="11">
        <f>J40/100</f>
        <v>2.4785127410984424E-2</v>
      </c>
      <c r="F102" s="11">
        <f>J33/100</f>
        <v>1.4198404635815782E-2</v>
      </c>
      <c r="G102" s="11">
        <f>J27/100</f>
        <v>1.5043844585427065E-3</v>
      </c>
      <c r="H102" s="11">
        <f>J22/100</f>
        <v>1.4172329164948072E-3</v>
      </c>
      <c r="I102" s="11">
        <f>J18/100</f>
        <v>1.4016845765024474E-4</v>
      </c>
      <c r="J102" s="24">
        <f t="shared" si="13"/>
        <v>0.17457481298709304</v>
      </c>
      <c r="M102" s="22"/>
    </row>
    <row r="103" spans="1:16" ht="15" x14ac:dyDescent="0.25">
      <c r="A103" t="s">
        <v>134</v>
      </c>
      <c r="B103" s="11">
        <f>J55/100</f>
        <v>2.4038234292167362E-3</v>
      </c>
      <c r="C103" s="11">
        <f>J47/100</f>
        <v>8.5226120635645327E-3</v>
      </c>
      <c r="D103" s="11">
        <f>J39/100</f>
        <v>1.5317595272975333E-2</v>
      </c>
      <c r="E103" s="11">
        <f>J32/100</f>
        <v>1.6647182204759768E-2</v>
      </c>
      <c r="F103" s="11">
        <f>J26/100</f>
        <v>4.8227908342477963E-3</v>
      </c>
      <c r="G103" s="11">
        <f>J21/100</f>
        <v>5.7712595069532309E-4</v>
      </c>
      <c r="H103" s="11">
        <f>J17/100</f>
        <v>4.8997440864742374E-4</v>
      </c>
      <c r="I103" s="11">
        <f>J14/100</f>
        <v>4.846157225874533E-5</v>
      </c>
      <c r="J103" s="24">
        <f t="shared" si="13"/>
        <v>4.8829565736365668E-2</v>
      </c>
      <c r="M103" s="22"/>
    </row>
    <row r="104" spans="1:16" ht="15" x14ac:dyDescent="0.25">
      <c r="A104" t="s">
        <v>135</v>
      </c>
      <c r="B104" s="11">
        <f>J46/100</f>
        <v>2.3777541873582107E-4</v>
      </c>
      <c r="C104" s="11">
        <f>J38/100</f>
        <v>8.4289912453054357E-4</v>
      </c>
      <c r="D104" s="11">
        <f>J31/100</f>
        <v>1.5149304309557876E-3</v>
      </c>
      <c r="E104" s="11">
        <f>J25/100</f>
        <v>1.6464249524864192E-3</v>
      </c>
      <c r="F104" s="11">
        <f>J20/100</f>
        <v>4.7698273921350387E-4</v>
      </c>
      <c r="G104" s="11">
        <f>J16/100</f>
        <v>5.7078729556968688E-5</v>
      </c>
      <c r="H104" s="11">
        <f>J13/100</f>
        <v>4.8459346277506118E-5</v>
      </c>
      <c r="I104" s="11">
        <f>J11/100</f>
        <v>4.7929362614114984E-6</v>
      </c>
      <c r="J104" s="24">
        <f t="shared" si="13"/>
        <v>4.8293436780179619E-3</v>
      </c>
      <c r="M104" s="22"/>
    </row>
    <row r="105" spans="1:16" ht="15" x14ac:dyDescent="0.25">
      <c r="A105" s="8" t="s">
        <v>136</v>
      </c>
      <c r="B105" s="9">
        <f>SUM(B97:B104)</f>
        <v>3.449998860600819E-2</v>
      </c>
      <c r="C105" s="9">
        <f t="shared" ref="C105:I105" si="14">SUM(C97:C104)</f>
        <v>0.12216718035234331</v>
      </c>
      <c r="D105" s="9">
        <f t="shared" si="14"/>
        <v>0.2474661751366245</v>
      </c>
      <c r="E105" s="9">
        <f t="shared" si="14"/>
        <v>0.29628821661699245</v>
      </c>
      <c r="F105" s="9">
        <f t="shared" si="14"/>
        <v>0.23510044524215626</v>
      </c>
      <c r="G105" s="9">
        <f t="shared" si="14"/>
        <v>3.6838266538132165E-2</v>
      </c>
      <c r="H105" s="9">
        <f t="shared" si="14"/>
        <v>2.501469551006277E-2</v>
      </c>
      <c r="I105" s="9">
        <f t="shared" si="14"/>
        <v>2.4743288342063225E-3</v>
      </c>
      <c r="J105" s="24">
        <f>SUM(J97:J104)</f>
        <v>0.99984929683652612</v>
      </c>
      <c r="K105" s="30">
        <f>SUM(B105:I105)</f>
        <v>0.9998492968365259</v>
      </c>
      <c r="M105" s="23"/>
    </row>
    <row r="106" spans="1:16" ht="15" x14ac:dyDescent="0.25">
      <c r="A106" s="8" t="s">
        <v>137</v>
      </c>
      <c r="B106" s="10" t="s">
        <v>135</v>
      </c>
      <c r="C106" s="10" t="s">
        <v>134</v>
      </c>
      <c r="D106" s="10" t="s">
        <v>133</v>
      </c>
      <c r="E106" s="10" t="s">
        <v>132</v>
      </c>
      <c r="F106" s="10" t="s">
        <v>131</v>
      </c>
      <c r="G106" s="10" t="s">
        <v>130</v>
      </c>
      <c r="H106" s="10" t="s">
        <v>138</v>
      </c>
      <c r="I106" s="10" t="s">
        <v>128</v>
      </c>
      <c r="J106" s="14"/>
      <c r="M106" s="23"/>
    </row>
    <row r="109" spans="1:16" x14ac:dyDescent="0.2">
      <c r="A109" s="31" t="s">
        <v>143</v>
      </c>
      <c r="B109" s="12"/>
      <c r="C109" s="12"/>
      <c r="D109" s="12"/>
      <c r="E109" s="12"/>
      <c r="F109" s="12"/>
      <c r="G109" s="12"/>
      <c r="H109" s="12"/>
      <c r="I109" s="12"/>
      <c r="J109" s="12"/>
    </row>
    <row r="110" spans="1:16" x14ac:dyDescent="0.2">
      <c r="A110" t="str">
        <f>'[1]Version 6 (Gains, AA)'!A15</f>
        <v>r2 interval is up to</v>
      </c>
      <c r="B110" s="12"/>
      <c r="C110" s="12"/>
      <c r="D110" s="12"/>
      <c r="E110" s="12"/>
      <c r="F110" s="12"/>
      <c r="G110" s="12"/>
      <c r="H110" s="12"/>
      <c r="I110" s="12"/>
      <c r="J110" s="25" t="s">
        <v>96</v>
      </c>
    </row>
    <row r="111" spans="1:16" x14ac:dyDescent="0.2">
      <c r="A111" s="6" t="str">
        <f>'[1]Version 6 (Gains, AA)'!A16</f>
        <v>one-half</v>
      </c>
      <c r="B111" s="12">
        <v>3.1250000000000002E-3</v>
      </c>
      <c r="C111" s="12">
        <v>9.3749999999999997E-3</v>
      </c>
      <c r="D111" s="12">
        <v>6.2500000000000003E-3</v>
      </c>
      <c r="E111" s="12">
        <v>2.1874999999999999E-2</v>
      </c>
      <c r="F111" s="12">
        <v>2.1874999999999999E-2</v>
      </c>
      <c r="G111" s="12">
        <v>3.1250000000000002E-3</v>
      </c>
      <c r="H111" s="12">
        <v>6.2500000000000003E-3</v>
      </c>
      <c r="I111" s="12">
        <v>9.3749999999999997E-3</v>
      </c>
      <c r="J111" s="13">
        <f>SUM(B111:I111)</f>
        <v>8.1250000000000003E-2</v>
      </c>
    </row>
    <row r="112" spans="1:16" x14ac:dyDescent="0.2">
      <c r="A112" s="7" t="str">
        <f>'[1]Version 6 (Gains, AA)'!A17</f>
        <v>eleven-twentyfourths</v>
      </c>
      <c r="B112" s="12">
        <v>0</v>
      </c>
      <c r="C112" s="12">
        <v>6.2500000000000003E-3</v>
      </c>
      <c r="D112" s="12">
        <v>1.5625E-2</v>
      </c>
      <c r="E112" s="12">
        <v>3.125E-2</v>
      </c>
      <c r="F112" s="12">
        <v>9.3749999999999997E-3</v>
      </c>
      <c r="G112" s="12">
        <v>3.1250000000000002E-3</v>
      </c>
      <c r="H112" s="12">
        <v>6.2500000000000003E-3</v>
      </c>
      <c r="I112" s="12">
        <v>3.1250000000000002E-3</v>
      </c>
      <c r="J112" s="13">
        <f t="shared" ref="J112:J118" si="15">SUM(B112:I112)</f>
        <v>7.5000000000000011E-2</v>
      </c>
    </row>
    <row r="113" spans="1:10" x14ac:dyDescent="0.2">
      <c r="A113" t="str">
        <f>'[1]Version 6 (Gains, AA)'!A18</f>
        <v>five-twelfths</v>
      </c>
      <c r="B113" s="12">
        <v>0</v>
      </c>
      <c r="C113" s="12">
        <v>3.1250000000000002E-3</v>
      </c>
      <c r="D113" s="12">
        <v>2.5000000000000001E-2</v>
      </c>
      <c r="E113" s="12">
        <v>5.3124999999999999E-2</v>
      </c>
      <c r="F113" s="12">
        <v>1.2500000000000001E-2</v>
      </c>
      <c r="G113" s="12">
        <v>2.1874999999999999E-2</v>
      </c>
      <c r="H113" s="12">
        <v>6.2500000000000003E-3</v>
      </c>
      <c r="I113" s="12">
        <v>9.3749999999999997E-3</v>
      </c>
      <c r="J113" s="13">
        <f t="shared" si="15"/>
        <v>0.13125000000000001</v>
      </c>
    </row>
    <row r="114" spans="1:10" x14ac:dyDescent="0.2">
      <c r="A114" t="str">
        <f>'[1]Version 6 (Gains, AA)'!A19</f>
        <v>three-eights</v>
      </c>
      <c r="B114" s="12">
        <v>0</v>
      </c>
      <c r="C114" s="12">
        <v>1.2500000000000001E-2</v>
      </c>
      <c r="D114" s="12">
        <v>4.0625000000000001E-2</v>
      </c>
      <c r="E114" s="12">
        <v>5.6250000000000001E-2</v>
      </c>
      <c r="F114" s="12">
        <v>6.25E-2</v>
      </c>
      <c r="G114" s="12">
        <v>9.3749999999999997E-3</v>
      </c>
      <c r="H114" s="12">
        <v>6.2500000000000003E-3</v>
      </c>
      <c r="I114" s="12">
        <v>0</v>
      </c>
      <c r="J114" s="13">
        <f t="shared" si="15"/>
        <v>0.1875</v>
      </c>
    </row>
    <row r="115" spans="1:10" x14ac:dyDescent="0.2">
      <c r="A115" t="str">
        <f>'[1]Version 6 (Gains, AA)'!A20</f>
        <v>one-third</v>
      </c>
      <c r="B115" s="12">
        <v>3.1250000000000002E-3</v>
      </c>
      <c r="C115" s="12">
        <v>6.2500000000000003E-3</v>
      </c>
      <c r="D115" s="12">
        <v>6.8750000000000006E-2</v>
      </c>
      <c r="E115" s="12">
        <v>0.171875</v>
      </c>
      <c r="F115" s="12">
        <v>3.125E-2</v>
      </c>
      <c r="G115" s="12">
        <v>1.2500000000000001E-2</v>
      </c>
      <c r="H115" s="12">
        <v>3.1250000000000002E-3</v>
      </c>
      <c r="I115" s="12">
        <v>3.1250000000000002E-3</v>
      </c>
      <c r="J115" s="13">
        <f t="shared" si="15"/>
        <v>0.3</v>
      </c>
    </row>
    <row r="116" spans="1:10" x14ac:dyDescent="0.2">
      <c r="A116" t="str">
        <f>'[1]Version 6 (Gains, AA)'!A21</f>
        <v>two-sevenths</v>
      </c>
      <c r="B116" s="12">
        <v>0</v>
      </c>
      <c r="C116" s="12">
        <v>6.2500000000000003E-3</v>
      </c>
      <c r="D116" s="12">
        <v>6.8750000000000006E-2</v>
      </c>
      <c r="E116" s="12">
        <v>5.3124999999999999E-2</v>
      </c>
      <c r="F116" s="12">
        <v>1.2500000000000001E-2</v>
      </c>
      <c r="G116" s="12">
        <v>3.1250000000000002E-3</v>
      </c>
      <c r="H116" s="12">
        <v>3.1250000000000002E-3</v>
      </c>
      <c r="I116" s="12">
        <v>0</v>
      </c>
      <c r="J116" s="13">
        <f t="shared" si="15"/>
        <v>0.14687500000000001</v>
      </c>
    </row>
    <row r="117" spans="1:10" x14ac:dyDescent="0.2">
      <c r="A117" t="str">
        <f>'[1]Version 6 (Gains, AA)'!A22</f>
        <v>two-ninths</v>
      </c>
      <c r="B117" s="12">
        <v>3.1250000000000002E-3</v>
      </c>
      <c r="C117" s="12">
        <v>1.8749999999999999E-2</v>
      </c>
      <c r="D117" s="12">
        <v>1.8749999999999999E-2</v>
      </c>
      <c r="E117" s="12">
        <v>1.2500000000000001E-2</v>
      </c>
      <c r="F117" s="12">
        <v>3.1250000000000002E-3</v>
      </c>
      <c r="G117" s="12">
        <v>0</v>
      </c>
      <c r="H117" s="12">
        <v>0</v>
      </c>
      <c r="I117" s="12">
        <v>0</v>
      </c>
      <c r="J117" s="13">
        <f t="shared" si="15"/>
        <v>5.6249999999999994E-2</v>
      </c>
    </row>
    <row r="118" spans="1:10" x14ac:dyDescent="0.2">
      <c r="A118" t="str">
        <f>'[1]Version 6 (Gains, AA)'!A23</f>
        <v>two-fifteenths</v>
      </c>
      <c r="B118" s="12">
        <v>1.2500000000000001E-2</v>
      </c>
      <c r="C118" s="12">
        <v>0</v>
      </c>
      <c r="D118" s="12">
        <v>6.2500000000000003E-3</v>
      </c>
      <c r="E118" s="12">
        <v>3.1250000000000002E-3</v>
      </c>
      <c r="F118" s="12">
        <v>0</v>
      </c>
      <c r="G118" s="12">
        <v>0</v>
      </c>
      <c r="H118" s="12">
        <v>0</v>
      </c>
      <c r="I118" s="12">
        <v>0</v>
      </c>
      <c r="J118" s="13">
        <f t="shared" si="15"/>
        <v>2.1875000000000002E-2</v>
      </c>
    </row>
    <row r="119" spans="1:10" x14ac:dyDescent="0.2">
      <c r="A119" s="15" t="str">
        <f>'[1]Version 6 (Gains, AA)'!A24</f>
        <v>column %</v>
      </c>
      <c r="B119" s="16">
        <f>SUM(B111:B118)</f>
        <v>2.1875000000000002E-2</v>
      </c>
      <c r="C119" s="16">
        <f t="shared" ref="C119:I119" si="16">SUM(C111:C118)</f>
        <v>6.25E-2</v>
      </c>
      <c r="D119" s="16">
        <f t="shared" si="16"/>
        <v>0.25</v>
      </c>
      <c r="E119" s="16">
        <f t="shared" si="16"/>
        <v>0.40312499999999996</v>
      </c>
      <c r="F119" s="16">
        <f t="shared" si="16"/>
        <v>0.15312500000000001</v>
      </c>
      <c r="G119" s="16">
        <f t="shared" si="16"/>
        <v>5.3125000000000006E-2</v>
      </c>
      <c r="H119" s="16">
        <f t="shared" si="16"/>
        <v>3.125E-2</v>
      </c>
      <c r="I119" s="16">
        <f t="shared" si="16"/>
        <v>2.4999999999999998E-2</v>
      </c>
      <c r="J119" s="16">
        <f>SUM(J111:J118)</f>
        <v>0.99999999999999989</v>
      </c>
    </row>
    <row r="120" spans="1:10" x14ac:dyDescent="0.2">
      <c r="A120" s="15" t="str">
        <f>'[1]Version 6 (Gains, AA)'!A25</f>
        <v>r1 is up to</v>
      </c>
      <c r="B120" s="15" t="str">
        <f>'[1]Version 6 (Gains, AA)'!B25</f>
        <v>two-fifteenths</v>
      </c>
      <c r="C120" s="15" t="str">
        <f>'[1]Version 6 (Gains, AA)'!C25</f>
        <v>two-ninths</v>
      </c>
      <c r="D120" s="15" t="str">
        <f>'[1]Version 6 (Gains, AA)'!D25</f>
        <v>two-sevenths</v>
      </c>
      <c r="E120" s="15" t="str">
        <f>'[1]Version 6 (Gains, AA)'!E25</f>
        <v>one-third</v>
      </c>
      <c r="F120" s="15" t="str">
        <f>'[1]Version 6 (Gains, AA)'!F25</f>
        <v>three-eights</v>
      </c>
      <c r="G120" s="15" t="str">
        <f>'[1]Version 6 (Gains, AA)'!G25</f>
        <v>five-twelfths</v>
      </c>
      <c r="H120" s="15" t="str">
        <f>'[1]Version 6 (Gains, AA)'!H25</f>
        <v>eleven-twentyfifths</v>
      </c>
      <c r="I120" s="15" t="str">
        <f>'[1]Version 6 (Gains, AA)'!I25</f>
        <v>one-half</v>
      </c>
      <c r="J120" s="15"/>
    </row>
  </sheetData>
  <phoneticPr fontId="2"/>
  <pageMargins left="0.75" right="0.75" top="1" bottom="1" header="0.5" footer="0.5"/>
  <pageSetup paperSize="9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.625" defaultRowHeight="12.75" x14ac:dyDescent="0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.625" defaultRowHeight="12.75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18</vt:i4>
      </vt:variant>
    </vt:vector>
  </HeadingPairs>
  <TitlesOfParts>
    <vt:vector size="21" baseType="lpstr">
      <vt:lpstr>Sheet1</vt:lpstr>
      <vt:lpstr>Sheet2</vt:lpstr>
      <vt:lpstr>Sheet3</vt:lpstr>
      <vt:lpstr>a</vt:lpstr>
      <vt:lpstr>b</vt:lpstr>
      <vt:lpstr>d</vt:lpstr>
      <vt:lpstr>e</vt:lpstr>
      <vt:lpstr>j</vt:lpstr>
      <vt:lpstr>k</vt:lpstr>
      <vt:lpstr>m</vt:lpstr>
      <vt:lpstr>n</vt:lpstr>
      <vt:lpstr>peight</vt:lpstr>
      <vt:lpstr>pfive</vt:lpstr>
      <vt:lpstr>pfour</vt:lpstr>
      <vt:lpstr>pone</vt:lpstr>
      <vt:lpstr>pseven</vt:lpstr>
      <vt:lpstr>psix</vt:lpstr>
      <vt:lpstr>pthree</vt:lpstr>
      <vt:lpstr>ptwo</vt:lpstr>
      <vt:lpstr>u</vt:lpstr>
      <vt:lpstr>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Binmore</dc:creator>
  <cp:lastModifiedBy>Alex</cp:lastModifiedBy>
  <dcterms:created xsi:type="dcterms:W3CDTF">2011-09-11T13:57:06Z</dcterms:created>
  <dcterms:modified xsi:type="dcterms:W3CDTF">2016-01-04T14:40:51Z</dcterms:modified>
</cp:coreProperties>
</file>