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8955" activeTab="0"/>
  </bookViews>
  <sheets>
    <sheet name="D.1." sheetId="1" r:id="rId1"/>
    <sheet name="Legend to D.1" sheetId="2" r:id="rId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<sst xmlns="http://schemas.openxmlformats.org/spreadsheetml/2006/main" count="133" uniqueCount="132">
  <si>
    <t>D.1.1.</t>
  </si>
  <si>
    <t>D.1.2.</t>
  </si>
  <si>
    <t>D.1.3.</t>
  </si>
  <si>
    <t>Rentenbank notes in circulation, Deutsche Bundesbank (1976, Table C.I, 1.04 "Deutsche Rentenbank", "Umlauf an Rentenbankscheinen")</t>
  </si>
  <si>
    <t>D.1.4</t>
  </si>
  <si>
    <t>Reichsbank notes in circulation and in banking system, Deutsche Bundesbank (1976, Table C.I 1.01 "Reichsbank", "Banknotenumlauf")</t>
  </si>
  <si>
    <t>Other bank notes in circulation and in banking system, Deutsche Bundesbank (1976, Table C.I, 1.02 "Privatbanken", "Banknotenumlauf")</t>
  </si>
  <si>
    <t>D.1.5</t>
  </si>
  <si>
    <t>D.1.6</t>
  </si>
  <si>
    <t>D.1.7</t>
  </si>
  <si>
    <t>Vault cash of Reichsbank: coins, Deutsche Bundesbank (1976, Table C.I, 1.01 "Reichsbank", "Deutsche Scheidemuenzen")</t>
  </si>
  <si>
    <t>Vault cash of Reichsbank: Rentenbank and private bank notes, Deutsche Bundesbank (1976, Table C.I, 1.01 "Reichsbank", "Rentenbankscheine" and "Noten anderer Banken")</t>
  </si>
  <si>
    <t>Vault cash of other emission banks, Deutsche Bundesbank (1976, Table C.I, 1.02 "Privatbanken", "Kasse")</t>
  </si>
  <si>
    <t>D.1.8</t>
  </si>
  <si>
    <t>NA</t>
  </si>
  <si>
    <t>Vault cash of Rentenbank, Deutsche Bundesbank (1976, Table C.I, 1.04 "Deutsche Rentenbank", "Bsarreserve")</t>
  </si>
  <si>
    <t>D.1.9</t>
  </si>
  <si>
    <t>Vault cash of Dego, Deutsche Bundesbank (1976, Table C.I, 1.05 "Deutsche Golddiskontbank", "Barreserve")</t>
  </si>
  <si>
    <t>D.1.10</t>
  </si>
  <si>
    <t>D.1.11</t>
  </si>
  <si>
    <t>D.1.12</t>
  </si>
  <si>
    <t xml:space="preserve">Vault cash in the banking system, </t>
  </si>
  <si>
    <t>1928(1924?)-1938: excluding deposits at Reichsbank, Deutsche Bundesbank (1976, Table D.II, 1.01 "Aktiva und Passiva aller Banken", "Barreserve")</t>
  </si>
  <si>
    <t>1939-1942: including deposits at Reichsbank, Deutsche Bundesbank (1976, Table D.II, 1.01 "Aktiva und Passiva aller Banken", "Barreserve")</t>
  </si>
  <si>
    <t xml:space="preserve">            minus bank deposits at Reichsbank, Deutsche Bundesbank (1976, Table C.I, 1.01 "Notenbank", "Einlagen Kreditinstitute")</t>
  </si>
  <si>
    <t>D.1.13</t>
  </si>
  <si>
    <t>D.1.14</t>
  </si>
  <si>
    <t>Reserves of banking system held at the Reichsbank</t>
  </si>
  <si>
    <t>Deutsche Bundesbank (1976, Table C.I, 1.01 "Notenbank", "Einlagen"; Table D.II.1.01, "Reichsbank- und Postscheckguthaben")</t>
  </si>
  <si>
    <t>1927-1938: reserves of banking system at Reichsbank and postal banking system, Deutsche Bundesbank (1976, Table D.II.1.01, "Reichsbank- und Postscheckguthaben")</t>
  </si>
  <si>
    <t xml:space="preserve">1939-1943: </t>
  </si>
  <si>
    <t>1924-1926: reserves held at Reichsbank by banks and private non-banks, adjusted by share of banks in total from 1927,</t>
  </si>
  <si>
    <t xml:space="preserve"> reserves of banking system held at Reichsbank, Deutsche Bundesbank (1976, Table C.I, 1.01 "Notenbank", "Einlagen Kreditinstitute")</t>
  </si>
  <si>
    <t>D.1.15</t>
  </si>
  <si>
    <t>D.1.16</t>
  </si>
  <si>
    <t>Total reserves in the banking system, excluding central banks, = D.1.12+13</t>
  </si>
  <si>
    <t>D.1.17</t>
  </si>
  <si>
    <t>Currency held by the public= D.1.5-D.1.11-D.1.14-D.1.15</t>
  </si>
  <si>
    <t>Monetary base = D.1.16+D.1.14</t>
  </si>
  <si>
    <t>Government vault cash held at Reichsbank</t>
  </si>
  <si>
    <t>D.1.18</t>
  </si>
  <si>
    <t>D.1.19</t>
  </si>
  <si>
    <t>M1 = D.1.16 + D.1.18</t>
  </si>
  <si>
    <t>Sources:</t>
  </si>
  <si>
    <t>Deutsche Bundesbank (1976), Deutsches Geld- und Bankwesen in Zahlen, Frankfurt/M.: Knapp.</t>
  </si>
  <si>
    <t>Statistisches Handbuch von Deutschland (1949), ed. by Laenderrat des amerikanischen Besatzungsgebiets, Munich: Ehrenwirth.</t>
  </si>
  <si>
    <t>1924-1927: coins in circulation and in banking system, Statistisches Jahrbuch fuer das Deutsche Reich, various issues.</t>
  </si>
  <si>
    <t>1928-1945: coins in circulation and in banking system (excl. private emission banks), Statistisches Handbuch von Deutschland p. 505, Table XII.A.1</t>
  </si>
  <si>
    <t>total bank notes and coins in circulation, = D.1.1+D.1.2+D.1.3+D.1.4</t>
  </si>
  <si>
    <t>Vault cash at central banks, = D.1.6+D.1.7+D.1.8+D.1.9+D.1.10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</si>
  <si>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</si>
  <si>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</si>
  <si>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</si>
  <si>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</si>
  <si>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</si>
  <si>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</si>
  <si>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</si>
  <si>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</si>
  <si>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</si>
  <si>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</si>
  <si>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</si>
  <si>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</si>
  <si>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</si>
  <si>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TABLE D.1</t>
  </si>
  <si>
    <t>1939</t>
  </si>
  <si>
    <t>1940</t>
  </si>
  <si>
    <t>1941</t>
  </si>
  <si>
    <t>1942</t>
  </si>
  <si>
    <t>1943</t>
  </si>
  <si>
    <t>1944</t>
  </si>
  <si>
    <t>1945</t>
  </si>
  <si>
    <t>(D.1.1)</t>
  </si>
  <si>
    <t>(D.1.4)</t>
  </si>
  <si>
    <t>(D.1.3)</t>
  </si>
  <si>
    <t>(D.1.2)</t>
  </si>
  <si>
    <t>(D.1.5)</t>
  </si>
  <si>
    <t>(D.1.6)</t>
  </si>
  <si>
    <t>(D.1.7)</t>
  </si>
  <si>
    <t>(D.1.8)</t>
  </si>
  <si>
    <t>(D.1.9)</t>
  </si>
  <si>
    <t>(D.1.10)</t>
  </si>
  <si>
    <t>(D.1.11)</t>
  </si>
  <si>
    <t>(D.1.12)</t>
  </si>
  <si>
    <t>(D.1.13)</t>
  </si>
  <si>
    <t>(D.1.14)</t>
  </si>
  <si>
    <t>(D.1.15)</t>
  </si>
  <si>
    <t>(D.1.16)</t>
  </si>
  <si>
    <t>(D.1.17)</t>
  </si>
  <si>
    <t>(D.1.18)</t>
  </si>
  <si>
    <t>(D.1.19)</t>
  </si>
  <si>
    <t>Total bank notes and coins</t>
  </si>
  <si>
    <t>Total vault cash at central banks</t>
  </si>
  <si>
    <t>Total Reserves of commerical banking system</t>
  </si>
  <si>
    <t>Currency held by the public</t>
  </si>
  <si>
    <t>Monetary base</t>
  </si>
  <si>
    <t xml:space="preserve">  Reichsbank notes in circulation</t>
  </si>
  <si>
    <t xml:space="preserve">  Private bank notes in circulation</t>
  </si>
  <si>
    <t xml:space="preserve">  Rentenbank notes in circulation</t>
  </si>
  <si>
    <t xml:space="preserve">  Coins in circulation</t>
  </si>
  <si>
    <t xml:space="preserve">  Vault cash of Reichsbank: coins</t>
  </si>
  <si>
    <t xml:space="preserve">  Vault cash of Reichsbank: private and Rentenbank notes</t>
  </si>
  <si>
    <t xml:space="preserve">  Vault cash of private note emitting banks</t>
  </si>
  <si>
    <t xml:space="preserve">  Vault cash of Rentenbank</t>
  </si>
  <si>
    <t xml:space="preserve">  Vault cash of Golddiskontbank</t>
  </si>
  <si>
    <t xml:space="preserve">  Vault cash in commercial banking system</t>
  </si>
  <si>
    <t xml:space="preserve">  Reserves of commerical banking system held at Reichsbank</t>
  </si>
  <si>
    <t xml:space="preserve">  Government vault cash held at Reichsbank</t>
  </si>
  <si>
    <t xml:space="preserve">  Demand and Time Deposits, non-Banks and Foreign Banks</t>
  </si>
  <si>
    <t>Currency/deposit ratio</t>
  </si>
  <si>
    <t>(D.1.20)</t>
  </si>
  <si>
    <t>D.1.20</t>
  </si>
  <si>
    <t>C/D = D.1.16 / D.1.18</t>
  </si>
  <si>
    <t xml:space="preserve">  Savings deposits</t>
  </si>
  <si>
    <t>(D.1.21)</t>
  </si>
  <si>
    <t>Demand and Time Deposits, Non-Banks and Foreign Banks (structural break in reporting base 1933(?), 1940)</t>
  </si>
  <si>
    <t>Legend to Table D.1</t>
  </si>
  <si>
    <t>(D.1.22)</t>
  </si>
  <si>
    <t>M1, wide definition</t>
  </si>
  <si>
    <t>M2, wide definition</t>
  </si>
  <si>
    <t>M1 money multiplier</t>
  </si>
  <si>
    <t>(D.1.23)</t>
  </si>
  <si>
    <t>M2 money multiplier</t>
  </si>
  <si>
    <t>(D.1.24)</t>
  </si>
  <si>
    <t>D.1.21</t>
  </si>
  <si>
    <t>D.1.22</t>
  </si>
  <si>
    <t>D.1.23</t>
  </si>
  <si>
    <t>M1 money multiplier = D.1.19 / D.1 17</t>
  </si>
  <si>
    <t>Savings deposits, Deutsche Bundesbank (1976, Table DII, 1.01 "Aktiva und Passiva aller Banken", "Spareinlagen")</t>
  </si>
  <si>
    <t>M2 = D.1.19 + D.1.22</t>
  </si>
  <si>
    <t>D.1.24</t>
  </si>
  <si>
    <t>M2 money multiplier = D.1.23 / D.1.17</t>
  </si>
  <si>
    <t>The Monetary Base, M1, M2, and their Components, 1924-1945 (mill.RM)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</si>
</sst>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 horizontal="right"/>
    </xf>
    <xf numFmtId="164" fontId="4" fillId="0" borderId="1" xfId="15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quotePrefix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A1" sqref="A1"/>
    </sheetView>
  </sheetViews>
  <sheetFormatPr defaultColWidth="9.140625" defaultRowHeight="12.75"/>
  <cols>
    <col min="2" max="2" width="34.7109375" style="0" customWidth="1"/>
  </cols>
  <sheetData>
    <row r="1" spans="1:17" ht="12.75">
      <c r="A1" s="1" t="s">
        <v>63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8" ht="12.75">
      <c r="B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.75">
      <c r="A3" s="1" t="s">
        <v>131</v>
      </c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5" ht="13.5" thickBot="1">
      <c r="A4" s="4"/>
      <c r="B4" s="4"/>
      <c r="C4" s="5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4.25" thickBot="1" thickTop="1">
      <c r="A5" s="8"/>
      <c r="B5" s="8"/>
      <c r="C5" s="9"/>
      <c r="D5" s="10">
        <v>1924</v>
      </c>
      <c r="E5" s="10">
        <v>1925</v>
      </c>
      <c r="F5" s="10" t="s">
        <v>50</v>
      </c>
      <c r="G5" s="10" t="s">
        <v>51</v>
      </c>
      <c r="H5" s="10" t="s">
        <v>52</v>
      </c>
      <c r="I5" s="10" t="s">
        <v>53</v>
      </c>
      <c r="J5" s="10" t="s">
        <v>54</v>
      </c>
      <c r="K5" s="10" t="s">
        <v>55</v>
      </c>
      <c r="L5" s="10" t="s">
        <v>56</v>
      </c>
      <c r="M5" s="10" t="s">
        <v>57</v>
      </c>
      <c r="N5" s="10" t="s">
        <v>58</v>
      </c>
      <c r="O5" s="10" t="s">
        <v>59</v>
      </c>
      <c r="P5" s="10" t="s">
        <v>60</v>
      </c>
      <c r="Q5" s="10" t="s">
        <v>61</v>
      </c>
      <c r="R5" s="10" t="s">
        <v>62</v>
      </c>
      <c r="S5" s="10" t="s">
        <v>64</v>
      </c>
      <c r="T5" s="10" t="s">
        <v>65</v>
      </c>
      <c r="U5" s="10" t="s">
        <v>66</v>
      </c>
      <c r="V5" s="10" t="s">
        <v>67</v>
      </c>
      <c r="W5" s="10" t="s">
        <v>68</v>
      </c>
      <c r="X5" s="10" t="s">
        <v>69</v>
      </c>
      <c r="Y5" s="10" t="s">
        <v>70</v>
      </c>
    </row>
    <row r="6" ht="13.5" thickTop="1"/>
    <row r="7" spans="1:25" s="11" customFormat="1" ht="12">
      <c r="A7" s="11" t="s">
        <v>95</v>
      </c>
      <c r="C7" s="15" t="s">
        <v>71</v>
      </c>
      <c r="D7" s="11">
        <v>1941</v>
      </c>
      <c r="E7" s="11">
        <v>2960</v>
      </c>
      <c r="F7" s="11">
        <v>3736</v>
      </c>
      <c r="G7" s="11">
        <v>4564</v>
      </c>
      <c r="H7" s="11">
        <v>4930</v>
      </c>
      <c r="I7" s="11">
        <v>5044</v>
      </c>
      <c r="J7" s="11">
        <v>4778</v>
      </c>
      <c r="K7" s="11">
        <v>4776</v>
      </c>
      <c r="L7" s="11">
        <v>3561</v>
      </c>
      <c r="M7" s="11">
        <v>3645</v>
      </c>
      <c r="N7" s="11">
        <v>3901</v>
      </c>
      <c r="O7" s="11">
        <v>4285</v>
      </c>
      <c r="P7" s="11">
        <v>4980</v>
      </c>
      <c r="Q7" s="11">
        <v>5493</v>
      </c>
      <c r="R7" s="11">
        <v>8223</v>
      </c>
      <c r="S7" s="11">
        <v>11798</v>
      </c>
      <c r="T7" s="11">
        <v>14033</v>
      </c>
      <c r="U7" s="11">
        <v>19325</v>
      </c>
      <c r="V7" s="11">
        <v>24357</v>
      </c>
      <c r="W7" s="11">
        <v>33683</v>
      </c>
      <c r="X7" s="11">
        <v>50102</v>
      </c>
      <c r="Y7" s="11">
        <v>56425</v>
      </c>
    </row>
    <row r="8" spans="1:25" s="11" customFormat="1" ht="12">
      <c r="A8" s="11" t="s">
        <v>96</v>
      </c>
      <c r="C8" s="15" t="s">
        <v>74</v>
      </c>
      <c r="D8" s="11">
        <v>124</v>
      </c>
      <c r="E8" s="11">
        <v>193</v>
      </c>
      <c r="F8" s="11">
        <v>194</v>
      </c>
      <c r="G8" s="11">
        <v>194</v>
      </c>
      <c r="H8" s="11">
        <v>193</v>
      </c>
      <c r="I8" s="11">
        <v>194</v>
      </c>
      <c r="J8" s="11">
        <v>192</v>
      </c>
      <c r="K8" s="11">
        <v>192</v>
      </c>
      <c r="L8" s="11">
        <v>190</v>
      </c>
      <c r="M8" s="11">
        <v>190</v>
      </c>
      <c r="N8" s="11">
        <v>193</v>
      </c>
      <c r="O8" s="11">
        <v>110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</row>
    <row r="9" spans="1:25" s="11" customFormat="1" ht="12">
      <c r="A9" s="11" t="s">
        <v>97</v>
      </c>
      <c r="C9" s="15" t="s">
        <v>73</v>
      </c>
      <c r="D9" s="11">
        <v>1980</v>
      </c>
      <c r="E9" s="11">
        <v>1609</v>
      </c>
      <c r="F9" s="11">
        <v>1172</v>
      </c>
      <c r="G9" s="11">
        <v>740</v>
      </c>
      <c r="H9" s="11">
        <v>607</v>
      </c>
      <c r="I9" s="11">
        <v>480</v>
      </c>
      <c r="J9" s="11">
        <v>447</v>
      </c>
      <c r="K9" s="11">
        <v>427</v>
      </c>
      <c r="L9" s="11">
        <v>427</v>
      </c>
      <c r="M9" s="11">
        <v>409</v>
      </c>
      <c r="N9" s="11">
        <v>409</v>
      </c>
      <c r="O9" s="11">
        <v>409</v>
      </c>
      <c r="P9" s="11">
        <v>409</v>
      </c>
      <c r="Q9" s="11">
        <v>409</v>
      </c>
      <c r="R9" s="11">
        <v>409</v>
      </c>
      <c r="S9" s="11">
        <v>1083</v>
      </c>
      <c r="T9" s="11">
        <v>1335</v>
      </c>
      <c r="U9" s="11">
        <v>1400</v>
      </c>
      <c r="V9" s="11">
        <v>1550</v>
      </c>
      <c r="W9" s="11">
        <v>1550</v>
      </c>
      <c r="X9" s="11">
        <v>1550</v>
      </c>
      <c r="Y9" s="11">
        <v>1550</v>
      </c>
    </row>
    <row r="10" spans="1:25" s="11" customFormat="1" ht="12">
      <c r="A10" s="11" t="s">
        <v>98</v>
      </c>
      <c r="C10" s="15" t="s">
        <v>72</v>
      </c>
      <c r="D10" s="11">
        <v>429</v>
      </c>
      <c r="E10" s="11">
        <v>644</v>
      </c>
      <c r="F10" s="11">
        <v>836</v>
      </c>
      <c r="G10" s="11">
        <v>878</v>
      </c>
      <c r="H10" s="11">
        <v>1029</v>
      </c>
      <c r="I10" s="11">
        <v>998</v>
      </c>
      <c r="J10" s="11">
        <v>1002</v>
      </c>
      <c r="K10" s="11">
        <v>1290</v>
      </c>
      <c r="L10" s="11">
        <v>1501</v>
      </c>
      <c r="M10" s="11">
        <v>1516</v>
      </c>
      <c r="N10" s="11">
        <v>1525</v>
      </c>
      <c r="O10" s="11">
        <v>1544</v>
      </c>
      <c r="P10" s="11">
        <v>1602</v>
      </c>
      <c r="Q10" s="11">
        <v>1615</v>
      </c>
      <c r="R10" s="11">
        <v>1799</v>
      </c>
      <c r="S10" s="11">
        <v>1762</v>
      </c>
      <c r="T10" s="11">
        <v>1635</v>
      </c>
      <c r="U10" s="11">
        <v>1746</v>
      </c>
      <c r="V10" s="11">
        <v>1704</v>
      </c>
      <c r="W10" s="11">
        <v>1836</v>
      </c>
      <c r="X10" s="11">
        <v>1909</v>
      </c>
      <c r="Y10" s="11">
        <v>1911</v>
      </c>
    </row>
    <row r="11" spans="1:25" s="11" customFormat="1" ht="12">
      <c r="A11" s="13" t="s">
        <v>90</v>
      </c>
      <c r="C11" s="15" t="s">
        <v>75</v>
      </c>
      <c r="D11" s="11">
        <f>SUM(D7:D10)</f>
        <v>4474</v>
      </c>
      <c r="E11" s="11">
        <f>SUM(E7:E10)</f>
        <v>5406</v>
      </c>
      <c r="F11" s="11">
        <f>SUM(F7:F10)</f>
        <v>5938</v>
      </c>
      <c r="G11" s="11">
        <f>SUM(G7:G10)</f>
        <v>6376</v>
      </c>
      <c r="H11" s="11">
        <f>SUM(H7:H10)</f>
        <v>6759</v>
      </c>
      <c r="I11" s="11">
        <f>SUM(I7:I10)</f>
        <v>6716</v>
      </c>
      <c r="J11" s="11">
        <f>SUM(J7:J10)</f>
        <v>6419</v>
      </c>
      <c r="K11" s="11">
        <f>SUM(K7:K10)</f>
        <v>6685</v>
      </c>
      <c r="L11" s="11">
        <f>SUM(L7:L10)</f>
        <v>5679</v>
      </c>
      <c r="M11" s="11">
        <f>SUM(M7:M10)</f>
        <v>5760</v>
      </c>
      <c r="N11" s="11">
        <f>SUM(N7:N10)</f>
        <v>6028</v>
      </c>
      <c r="O11" s="11">
        <f>SUM(O7:O10)</f>
        <v>6348</v>
      </c>
      <c r="P11" s="11">
        <f>SUM(P7:P10)</f>
        <v>6991</v>
      </c>
      <c r="Q11" s="11">
        <f>SUM(Q7:Q10)</f>
        <v>7517</v>
      </c>
      <c r="R11" s="11">
        <f>SUM(R7:R10)</f>
        <v>10431</v>
      </c>
      <c r="S11" s="11">
        <f>SUM(S7:S10)</f>
        <v>14643</v>
      </c>
      <c r="T11" s="11">
        <f>SUM(T7:T10)</f>
        <v>17003</v>
      </c>
      <c r="U11" s="11">
        <f>SUM(U7:U10)</f>
        <v>22471</v>
      </c>
      <c r="V11" s="11">
        <f>SUM(V7:V10)</f>
        <v>27611</v>
      </c>
      <c r="W11" s="11">
        <f>SUM(W7:W10)</f>
        <v>37069</v>
      </c>
      <c r="X11" s="11">
        <f>SUM(X7:X10)</f>
        <v>53561</v>
      </c>
      <c r="Y11" s="11">
        <f>SUM(Y7:Y10)</f>
        <v>59886</v>
      </c>
    </row>
    <row r="12" spans="1:25" s="11" customFormat="1" ht="12">
      <c r="A12" s="11" t="s">
        <v>99</v>
      </c>
      <c r="C12" s="15" t="s">
        <v>76</v>
      </c>
      <c r="D12" s="11">
        <v>46</v>
      </c>
      <c r="E12" s="11">
        <v>62</v>
      </c>
      <c r="F12" s="11">
        <v>86</v>
      </c>
      <c r="G12" s="11">
        <v>43</v>
      </c>
      <c r="H12" s="11">
        <v>82</v>
      </c>
      <c r="I12" s="11">
        <v>89</v>
      </c>
      <c r="J12" s="11">
        <v>137</v>
      </c>
      <c r="K12" s="11">
        <v>81</v>
      </c>
      <c r="L12" s="11">
        <v>177</v>
      </c>
      <c r="M12" s="11">
        <v>172</v>
      </c>
      <c r="N12" s="11">
        <v>162</v>
      </c>
      <c r="O12" s="11">
        <v>152</v>
      </c>
      <c r="P12" s="11">
        <v>123</v>
      </c>
      <c r="Q12" s="11">
        <v>111</v>
      </c>
      <c r="R12" s="11">
        <v>116</v>
      </c>
      <c r="S12" s="11">
        <v>350</v>
      </c>
      <c r="T12" s="11">
        <v>118</v>
      </c>
      <c r="U12" s="11">
        <v>88</v>
      </c>
      <c r="V12" s="11">
        <v>115</v>
      </c>
      <c r="W12" s="11">
        <v>29</v>
      </c>
      <c r="X12" s="11">
        <v>7</v>
      </c>
      <c r="Y12" s="11">
        <v>5</v>
      </c>
    </row>
    <row r="13" spans="1:25" s="11" customFormat="1" ht="12">
      <c r="A13" s="11" t="s">
        <v>100</v>
      </c>
      <c r="C13" s="15" t="s">
        <v>77</v>
      </c>
      <c r="D13" s="11">
        <f>145+8</f>
        <v>153</v>
      </c>
      <c r="E13" s="11">
        <f>13+11</f>
        <v>24</v>
      </c>
      <c r="F13" s="11">
        <f>8+4</f>
        <v>12</v>
      </c>
      <c r="G13" s="11">
        <f>24+5</f>
        <v>29</v>
      </c>
      <c r="H13" s="11">
        <f>78+8</f>
        <v>86</v>
      </c>
      <c r="I13" s="11">
        <f>84+4</f>
        <v>88</v>
      </c>
      <c r="J13" s="11">
        <f>7+4</f>
        <v>11</v>
      </c>
      <c r="K13" s="11">
        <f>5+2</f>
        <v>7</v>
      </c>
      <c r="L13" s="11">
        <f>14+3</f>
        <v>17</v>
      </c>
      <c r="M13" s="11">
        <f>17+4</f>
        <v>21</v>
      </c>
      <c r="N13" s="11">
        <f>24+6</f>
        <v>30</v>
      </c>
      <c r="O13" s="11">
        <f>11+5</f>
        <v>16</v>
      </c>
      <c r="P13" s="11">
        <v>35</v>
      </c>
      <c r="Q13" s="11">
        <v>8</v>
      </c>
      <c r="R13" s="11">
        <v>17</v>
      </c>
      <c r="S13" s="11">
        <v>115</v>
      </c>
      <c r="T13" s="11">
        <v>222</v>
      </c>
      <c r="U13" s="11">
        <v>137</v>
      </c>
      <c r="V13" s="11">
        <v>243</v>
      </c>
      <c r="W13" s="11">
        <v>500</v>
      </c>
      <c r="X13" s="11">
        <v>414</v>
      </c>
      <c r="Y13" s="11">
        <v>388</v>
      </c>
    </row>
    <row r="14" spans="1:25" s="11" customFormat="1" ht="12">
      <c r="A14" s="11" t="s">
        <v>101</v>
      </c>
      <c r="C14" s="15" t="s">
        <v>78</v>
      </c>
      <c r="D14" s="11">
        <v>81</v>
      </c>
      <c r="E14" s="11">
        <v>104</v>
      </c>
      <c r="F14" s="11">
        <v>126</v>
      </c>
      <c r="G14" s="11">
        <v>120</v>
      </c>
      <c r="H14" s="11">
        <v>117</v>
      </c>
      <c r="I14" s="11">
        <v>124</v>
      </c>
      <c r="J14" s="11">
        <v>121</v>
      </c>
      <c r="K14" s="11">
        <v>114</v>
      </c>
      <c r="L14" s="11">
        <v>93</v>
      </c>
      <c r="M14" s="11">
        <v>98</v>
      </c>
      <c r="N14" s="11">
        <v>100</v>
      </c>
      <c r="O14" s="11">
        <v>68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</row>
    <row r="15" spans="1:25" s="11" customFormat="1" ht="12">
      <c r="A15" s="11" t="s">
        <v>102</v>
      </c>
      <c r="C15" s="15" t="s">
        <v>79</v>
      </c>
      <c r="D15" s="11">
        <v>192</v>
      </c>
      <c r="E15" s="11">
        <v>107</v>
      </c>
      <c r="F15" s="11">
        <v>84</v>
      </c>
      <c r="G15" s="11">
        <v>1</v>
      </c>
      <c r="H15" s="11">
        <v>12</v>
      </c>
      <c r="I15" s="11">
        <v>39</v>
      </c>
      <c r="J15" s="11">
        <v>20</v>
      </c>
      <c r="K15" s="11">
        <v>5</v>
      </c>
      <c r="L15" s="11">
        <v>4</v>
      </c>
      <c r="M15" s="11">
        <v>4</v>
      </c>
      <c r="N15" s="11">
        <v>2</v>
      </c>
      <c r="O15" s="11">
        <v>0</v>
      </c>
      <c r="P15" s="11">
        <v>1</v>
      </c>
      <c r="Q15" s="11">
        <v>0</v>
      </c>
      <c r="R15" s="11">
        <v>1</v>
      </c>
      <c r="S15" s="11">
        <v>2</v>
      </c>
      <c r="T15" s="11">
        <v>2</v>
      </c>
      <c r="U15" s="11">
        <v>2</v>
      </c>
      <c r="V15" s="11">
        <v>2</v>
      </c>
      <c r="W15" s="11">
        <v>2</v>
      </c>
      <c r="X15" s="11" t="s">
        <v>14</v>
      </c>
      <c r="Y15" s="11" t="s">
        <v>14</v>
      </c>
    </row>
    <row r="16" spans="1:25" s="11" customFormat="1" ht="12">
      <c r="A16" s="11" t="s">
        <v>103</v>
      </c>
      <c r="C16" s="15" t="s">
        <v>80</v>
      </c>
      <c r="K16" s="11">
        <v>11</v>
      </c>
      <c r="L16" s="11">
        <v>31</v>
      </c>
      <c r="M16" s="11">
        <v>56</v>
      </c>
      <c r="N16" s="11">
        <v>58</v>
      </c>
      <c r="O16" s="11">
        <v>84</v>
      </c>
      <c r="P16" s="11">
        <v>100</v>
      </c>
      <c r="Q16" s="11">
        <v>103</v>
      </c>
      <c r="R16" s="11">
        <v>79</v>
      </c>
      <c r="S16" s="11">
        <v>99</v>
      </c>
      <c r="T16" s="11">
        <v>116</v>
      </c>
      <c r="U16" s="11">
        <v>116</v>
      </c>
      <c r="V16" s="11">
        <v>109</v>
      </c>
      <c r="W16" s="11">
        <v>105</v>
      </c>
      <c r="X16" s="11">
        <v>70</v>
      </c>
      <c r="Y16" s="11">
        <v>117</v>
      </c>
    </row>
    <row r="17" spans="1:23" s="11" customFormat="1" ht="12">
      <c r="A17" s="13" t="s">
        <v>91</v>
      </c>
      <c r="C17" s="15" t="s">
        <v>81</v>
      </c>
      <c r="D17" s="11">
        <f>SUM(D12:D16)</f>
        <v>472</v>
      </c>
      <c r="E17" s="11">
        <f>SUM(E12:E16)</f>
        <v>297</v>
      </c>
      <c r="F17" s="11">
        <f>SUM(F12:F16)</f>
        <v>308</v>
      </c>
      <c r="G17" s="11">
        <f>SUM(G12:G16)</f>
        <v>193</v>
      </c>
      <c r="H17" s="11">
        <f>SUM(H12:H16)</f>
        <v>297</v>
      </c>
      <c r="I17" s="11">
        <f>SUM(I12:I16)</f>
        <v>340</v>
      </c>
      <c r="J17" s="11">
        <f>SUM(J12:J16)</f>
        <v>289</v>
      </c>
      <c r="K17" s="11">
        <f>SUM(K12:K16)</f>
        <v>218</v>
      </c>
      <c r="L17" s="11">
        <f>SUM(L12:L16)</f>
        <v>322</v>
      </c>
      <c r="M17" s="11">
        <f>SUM(M12:M16)</f>
        <v>351</v>
      </c>
      <c r="N17" s="11">
        <f>SUM(N12:N16)</f>
        <v>352</v>
      </c>
      <c r="O17" s="11">
        <f>SUM(O12:O16)</f>
        <v>320</v>
      </c>
      <c r="P17" s="11">
        <f>SUM(P12:P16)</f>
        <v>259</v>
      </c>
      <c r="Q17" s="11">
        <f>SUM(Q12:Q16)</f>
        <v>222</v>
      </c>
      <c r="R17" s="11">
        <f>SUM(R12:R16)</f>
        <v>213</v>
      </c>
      <c r="S17" s="11">
        <f>SUM(S12:S16)</f>
        <v>566</v>
      </c>
      <c r="T17" s="11">
        <f>SUM(T12:T16)</f>
        <v>458</v>
      </c>
      <c r="U17" s="11">
        <f>SUM(U12:U16)</f>
        <v>343</v>
      </c>
      <c r="V17" s="11">
        <f>SUM(V12:V16)</f>
        <v>469</v>
      </c>
      <c r="W17" s="11">
        <f>SUM(W12:W16)</f>
        <v>636</v>
      </c>
    </row>
    <row r="18" spans="1:23" s="11" customFormat="1" ht="12">
      <c r="A18" s="11" t="s">
        <v>104</v>
      </c>
      <c r="C18" s="15" t="s">
        <v>82</v>
      </c>
      <c r="D18" s="11">
        <v>625</v>
      </c>
      <c r="E18" s="11">
        <v>707</v>
      </c>
      <c r="F18" s="11">
        <v>783</v>
      </c>
      <c r="G18" s="11">
        <f>1051-250</f>
        <v>801</v>
      </c>
      <c r="H18" s="11">
        <f>1038-418</f>
        <v>620</v>
      </c>
      <c r="I18" s="11">
        <f>1010-391</f>
        <v>619</v>
      </c>
      <c r="J18" s="11">
        <f>999-417</f>
        <v>582</v>
      </c>
      <c r="K18" s="11">
        <f>856-413</f>
        <v>443</v>
      </c>
      <c r="L18" s="11">
        <f>690-338</f>
        <v>352</v>
      </c>
      <c r="M18" s="11">
        <f>722-345</f>
        <v>377</v>
      </c>
      <c r="N18" s="11">
        <f>813-379</f>
        <v>434</v>
      </c>
      <c r="O18" s="11">
        <f>1023-451</f>
        <v>572</v>
      </c>
      <c r="P18" s="11">
        <f>1114-470</f>
        <v>644</v>
      </c>
      <c r="Q18" s="11">
        <f>1259-592</f>
        <v>667</v>
      </c>
      <c r="R18" s="11">
        <f>1546-754</f>
        <v>792</v>
      </c>
      <c r="S18" s="11">
        <f>2022-971</f>
        <v>1051</v>
      </c>
      <c r="T18" s="11">
        <f>2150-1242</f>
        <v>908</v>
      </c>
      <c r="U18" s="11">
        <f>2647-1668</f>
        <v>979</v>
      </c>
      <c r="V18" s="11">
        <f>2959-1956</f>
        <v>1003</v>
      </c>
      <c r="W18" s="11">
        <f>3864-2633</f>
        <v>1231</v>
      </c>
    </row>
    <row r="19" spans="1:24" s="11" customFormat="1" ht="12">
      <c r="A19" s="11" t="s">
        <v>105</v>
      </c>
      <c r="C19" s="15" t="s">
        <v>83</v>
      </c>
      <c r="D19" s="12">
        <f>455*25/55</f>
        <v>206.8181818181818</v>
      </c>
      <c r="E19" s="12">
        <f>465*25/55</f>
        <v>211.36363636363637</v>
      </c>
      <c r="F19" s="12">
        <f>450*25/55</f>
        <v>204.54545454545453</v>
      </c>
      <c r="G19" s="11">
        <f>250</f>
        <v>250</v>
      </c>
      <c r="H19" s="11">
        <v>418</v>
      </c>
      <c r="I19" s="11">
        <v>391</v>
      </c>
      <c r="J19" s="11">
        <v>417</v>
      </c>
      <c r="K19" s="11">
        <v>338</v>
      </c>
      <c r="L19" s="11">
        <v>345</v>
      </c>
      <c r="M19" s="11">
        <v>451</v>
      </c>
      <c r="N19" s="11">
        <v>470</v>
      </c>
      <c r="O19" s="11">
        <v>592</v>
      </c>
      <c r="P19" s="11">
        <v>754</v>
      </c>
      <c r="Q19" s="11">
        <v>808</v>
      </c>
      <c r="R19" s="11">
        <v>813</v>
      </c>
      <c r="S19" s="11">
        <v>971</v>
      </c>
      <c r="T19" s="11">
        <v>1242</v>
      </c>
      <c r="U19" s="11">
        <v>1668</v>
      </c>
      <c r="V19" s="11">
        <v>1956</v>
      </c>
      <c r="W19" s="11">
        <v>2633</v>
      </c>
      <c r="X19" s="11">
        <v>4107</v>
      </c>
    </row>
    <row r="20" spans="1:24" s="11" customFormat="1" ht="12">
      <c r="A20" s="13" t="s">
        <v>92</v>
      </c>
      <c r="C20" s="15" t="s">
        <v>84</v>
      </c>
      <c r="D20" s="12">
        <f>D18+D19</f>
        <v>831.8181818181818</v>
      </c>
      <c r="E20" s="12">
        <f>E18+E19</f>
        <v>918.3636363636364</v>
      </c>
      <c r="F20" s="12">
        <f>F18+F19</f>
        <v>987.5454545454545</v>
      </c>
      <c r="G20" s="12">
        <f>G18+G19</f>
        <v>1051</v>
      </c>
      <c r="H20" s="12">
        <f>H18+H19</f>
        <v>1038</v>
      </c>
      <c r="I20" s="12">
        <f>I18+I19</f>
        <v>1010</v>
      </c>
      <c r="J20" s="12">
        <f>J18+J19</f>
        <v>999</v>
      </c>
      <c r="K20" s="12">
        <f>K18+K19</f>
        <v>781</v>
      </c>
      <c r="L20" s="12">
        <f>L18+L19</f>
        <v>697</v>
      </c>
      <c r="M20" s="12">
        <f>M18+M19</f>
        <v>828</v>
      </c>
      <c r="N20" s="12">
        <f>N18+N19</f>
        <v>904</v>
      </c>
      <c r="O20" s="12">
        <f>O18+O19</f>
        <v>1164</v>
      </c>
      <c r="P20" s="12">
        <f>P18+P19</f>
        <v>1398</v>
      </c>
      <c r="Q20" s="12">
        <f>Q18+Q19</f>
        <v>1475</v>
      </c>
      <c r="R20" s="12">
        <f>R18+R19</f>
        <v>1605</v>
      </c>
      <c r="S20" s="12">
        <f>S18+S19</f>
        <v>2022</v>
      </c>
      <c r="T20" s="12">
        <f>T18+T19</f>
        <v>2150</v>
      </c>
      <c r="U20" s="12">
        <f>U18+U19</f>
        <v>2647</v>
      </c>
      <c r="V20" s="12">
        <f>V18+V19</f>
        <v>2959</v>
      </c>
      <c r="W20" s="12">
        <f>W18+W19</f>
        <v>3864</v>
      </c>
      <c r="X20" s="12"/>
    </row>
    <row r="21" spans="1:24" s="11" customFormat="1" ht="12">
      <c r="A21" s="11" t="s">
        <v>106</v>
      </c>
      <c r="C21" s="15" t="s">
        <v>85</v>
      </c>
      <c r="D21" s="11">
        <v>366</v>
      </c>
      <c r="E21" s="11">
        <v>232</v>
      </c>
      <c r="F21" s="11">
        <v>198</v>
      </c>
      <c r="G21" s="11">
        <v>229</v>
      </c>
      <c r="H21" s="11">
        <v>183</v>
      </c>
      <c r="I21" s="11">
        <v>118</v>
      </c>
      <c r="J21" s="11">
        <v>127</v>
      </c>
      <c r="K21" s="11">
        <v>151</v>
      </c>
      <c r="L21" s="11">
        <v>80</v>
      </c>
      <c r="M21" s="11">
        <v>82</v>
      </c>
      <c r="N21" s="11">
        <v>102</v>
      </c>
      <c r="O21" s="11">
        <v>101</v>
      </c>
      <c r="P21" s="11">
        <v>89</v>
      </c>
      <c r="Q21" s="11">
        <v>78</v>
      </c>
      <c r="R21" s="11">
        <v>110</v>
      </c>
      <c r="S21" s="11">
        <v>193</v>
      </c>
      <c r="T21" s="11">
        <v>207</v>
      </c>
      <c r="U21" s="11">
        <v>288</v>
      </c>
      <c r="V21" s="11">
        <v>347</v>
      </c>
      <c r="W21" s="11">
        <v>637</v>
      </c>
      <c r="X21" s="11">
        <v>1341</v>
      </c>
    </row>
    <row r="22" spans="1:23" s="11" customFormat="1" ht="12">
      <c r="A22" s="13" t="s">
        <v>93</v>
      </c>
      <c r="C22" s="15" t="s">
        <v>86</v>
      </c>
      <c r="D22" s="12">
        <f>D11-D17-D20-D21</f>
        <v>2804.181818181818</v>
      </c>
      <c r="E22" s="12">
        <f>E11-E17-E20-E21</f>
        <v>3958.636363636364</v>
      </c>
      <c r="F22" s="12">
        <f>F11-F17-F20-F21</f>
        <v>4444.454545454546</v>
      </c>
      <c r="G22" s="12">
        <f>G11-G17-G20-G21</f>
        <v>4903</v>
      </c>
      <c r="H22" s="12">
        <f>H11-H17-H20-H21</f>
        <v>5241</v>
      </c>
      <c r="I22" s="12">
        <f>I11-I17-I20-I21</f>
        <v>5248</v>
      </c>
      <c r="J22" s="12">
        <f>J11-J17-J20-J21</f>
        <v>5004</v>
      </c>
      <c r="K22" s="12">
        <f>K11-K17-K20-K21</f>
        <v>5535</v>
      </c>
      <c r="L22" s="12">
        <f>L11-L17-L20-L21</f>
        <v>4580</v>
      </c>
      <c r="M22" s="12">
        <f>M11-M17-M20-M21</f>
        <v>4499</v>
      </c>
      <c r="N22" s="12">
        <f>N11-N17-N20-N21</f>
        <v>4670</v>
      </c>
      <c r="O22" s="12">
        <f>O11-O17-O20-O21</f>
        <v>4763</v>
      </c>
      <c r="P22" s="12">
        <f>P11-P17-P20-P21</f>
        <v>5245</v>
      </c>
      <c r="Q22" s="12">
        <f>Q11-Q17-Q20-Q21</f>
        <v>5742</v>
      </c>
      <c r="R22" s="12">
        <f>R11-R17-R20-R21</f>
        <v>8503</v>
      </c>
      <c r="S22" s="12">
        <f>S11-S17-S20-S21</f>
        <v>11862</v>
      </c>
      <c r="T22" s="12">
        <f>T11-T17-T20-T21</f>
        <v>14188</v>
      </c>
      <c r="U22" s="12">
        <f>U11-U17-U20-U21</f>
        <v>19193</v>
      </c>
      <c r="V22" s="12">
        <f>V11-V17-V20-V21</f>
        <v>23836</v>
      </c>
      <c r="W22" s="12">
        <f>W11-W17-W20-W21</f>
        <v>31932</v>
      </c>
    </row>
    <row r="23" spans="1:23" s="11" customFormat="1" ht="12">
      <c r="A23" s="13" t="s">
        <v>94</v>
      </c>
      <c r="C23" s="15" t="s">
        <v>87</v>
      </c>
      <c r="D23" s="12">
        <f>D22+D20</f>
        <v>3636</v>
      </c>
      <c r="E23" s="12">
        <f>E22+E20</f>
        <v>4877</v>
      </c>
      <c r="F23" s="12">
        <f>F22+F20</f>
        <v>5432</v>
      </c>
      <c r="G23" s="12">
        <f>G22+G20</f>
        <v>5954</v>
      </c>
      <c r="H23" s="12">
        <f>H22+H20</f>
        <v>6279</v>
      </c>
      <c r="I23" s="12">
        <f>I22+I20</f>
        <v>6258</v>
      </c>
      <c r="J23" s="12">
        <f>J22+J20</f>
        <v>6003</v>
      </c>
      <c r="K23" s="12">
        <f>K22+K20</f>
        <v>6316</v>
      </c>
      <c r="L23" s="12">
        <f>L22+L20</f>
        <v>5277</v>
      </c>
      <c r="M23" s="12">
        <f>M22+M20</f>
        <v>5327</v>
      </c>
      <c r="N23" s="12">
        <f>N22+N20</f>
        <v>5574</v>
      </c>
      <c r="O23" s="12">
        <f>O22+O20</f>
        <v>5927</v>
      </c>
      <c r="P23" s="12">
        <f>P22+P20</f>
        <v>6643</v>
      </c>
      <c r="Q23" s="12">
        <f>Q22+Q20</f>
        <v>7217</v>
      </c>
      <c r="R23" s="12">
        <f>R22+R20</f>
        <v>10108</v>
      </c>
      <c r="S23" s="12">
        <f>S22+S20</f>
        <v>13884</v>
      </c>
      <c r="T23" s="12">
        <f>T22+T20</f>
        <v>16338</v>
      </c>
      <c r="U23" s="12">
        <f>U22+U20</f>
        <v>21840</v>
      </c>
      <c r="V23" s="12">
        <f>V22+V20</f>
        <v>26795</v>
      </c>
      <c r="W23" s="12">
        <f>W22+W20</f>
        <v>35796</v>
      </c>
    </row>
    <row r="24" spans="1:24" s="11" customFormat="1" ht="12">
      <c r="A24" s="11" t="s">
        <v>107</v>
      </c>
      <c r="C24" s="15" t="s">
        <v>88</v>
      </c>
      <c r="D24" s="11">
        <v>7613</v>
      </c>
      <c r="E24" s="11">
        <v>11660</v>
      </c>
      <c r="F24" s="11">
        <v>14712</v>
      </c>
      <c r="G24" s="11">
        <v>17419</v>
      </c>
      <c r="H24" s="11">
        <v>18569</v>
      </c>
      <c r="I24" s="11">
        <v>18842</v>
      </c>
      <c r="J24" s="11">
        <v>17599</v>
      </c>
      <c r="K24" s="11">
        <v>13509</v>
      </c>
      <c r="L24" s="11">
        <v>11958</v>
      </c>
      <c r="M24" s="11">
        <v>11196</v>
      </c>
      <c r="N24" s="11">
        <v>12121</v>
      </c>
      <c r="O24" s="11">
        <v>12910</v>
      </c>
      <c r="P24" s="11">
        <v>13958</v>
      </c>
      <c r="Q24" s="11">
        <v>15283</v>
      </c>
      <c r="R24" s="11">
        <v>17580</v>
      </c>
      <c r="S24" s="11">
        <v>22388</v>
      </c>
      <c r="T24" s="11">
        <v>31120</v>
      </c>
      <c r="U24" s="11">
        <v>35501</v>
      </c>
      <c r="V24" s="11">
        <v>43619</v>
      </c>
      <c r="W24" s="11">
        <v>51687</v>
      </c>
      <c r="X24" s="11">
        <v>63081</v>
      </c>
    </row>
    <row r="25" spans="1:24" s="11" customFormat="1" ht="12">
      <c r="A25" s="13" t="s">
        <v>117</v>
      </c>
      <c r="C25" s="15" t="s">
        <v>89</v>
      </c>
      <c r="D25" s="12">
        <f>D22+D24</f>
        <v>10417.181818181818</v>
      </c>
      <c r="E25" s="12">
        <f>E22+E24</f>
        <v>15618.636363636364</v>
      </c>
      <c r="F25" s="12">
        <f>F22+F24</f>
        <v>19156.454545454544</v>
      </c>
      <c r="G25" s="12">
        <f>G22+G24</f>
        <v>22322</v>
      </c>
      <c r="H25" s="12">
        <f>H22+H24</f>
        <v>23810</v>
      </c>
      <c r="I25" s="12">
        <f>I22+I24</f>
        <v>24090</v>
      </c>
      <c r="J25" s="12">
        <f>J22+J24</f>
        <v>22603</v>
      </c>
      <c r="K25" s="12">
        <f>K22+K24</f>
        <v>19044</v>
      </c>
      <c r="L25" s="12">
        <f>L22+L24</f>
        <v>16538</v>
      </c>
      <c r="M25" s="12">
        <f>M22+M24</f>
        <v>15695</v>
      </c>
      <c r="N25" s="12">
        <f>N22+N24</f>
        <v>16791</v>
      </c>
      <c r="O25" s="12">
        <f>O22+O24</f>
        <v>17673</v>
      </c>
      <c r="P25" s="12">
        <f>P22+P24</f>
        <v>19203</v>
      </c>
      <c r="Q25" s="12">
        <f>Q22+Q24</f>
        <v>21025</v>
      </c>
      <c r="R25" s="12">
        <f>R22+R24</f>
        <v>26083</v>
      </c>
      <c r="S25" s="12">
        <f>S22+S24</f>
        <v>34250</v>
      </c>
      <c r="T25" s="12">
        <f>T22+T24</f>
        <v>45308</v>
      </c>
      <c r="U25" s="12">
        <f>U22+U24</f>
        <v>54694</v>
      </c>
      <c r="V25" s="12">
        <f>V22+V24</f>
        <v>67455</v>
      </c>
      <c r="W25" s="12">
        <f>W22+W24</f>
        <v>83619</v>
      </c>
      <c r="X25" s="12"/>
    </row>
    <row r="26" spans="1:24" s="11" customFormat="1" ht="12">
      <c r="A26" s="17" t="s">
        <v>108</v>
      </c>
      <c r="C26" s="15" t="s">
        <v>109</v>
      </c>
      <c r="D26" s="16">
        <f>D22/D24</f>
        <v>0.368341234491241</v>
      </c>
      <c r="E26" s="16">
        <f aca="true" t="shared" si="0" ref="E26:W26">E22/E24</f>
        <v>0.3395056915640106</v>
      </c>
      <c r="F26" s="16">
        <f t="shared" si="0"/>
        <v>0.30209723664046667</v>
      </c>
      <c r="G26" s="16">
        <f t="shared" si="0"/>
        <v>0.28147425225328665</v>
      </c>
      <c r="H26" s="16">
        <f t="shared" si="0"/>
        <v>0.2822446012170822</v>
      </c>
      <c r="I26" s="16">
        <f t="shared" si="0"/>
        <v>0.27852669567986416</v>
      </c>
      <c r="J26" s="16">
        <f t="shared" si="0"/>
        <v>0.28433433717824874</v>
      </c>
      <c r="K26" s="16">
        <f t="shared" si="0"/>
        <v>0.4097268487674883</v>
      </c>
      <c r="L26" s="16">
        <f t="shared" si="0"/>
        <v>0.3830071918381</v>
      </c>
      <c r="M26" s="16">
        <f t="shared" si="0"/>
        <v>0.4018399428367274</v>
      </c>
      <c r="N26" s="16">
        <f t="shared" si="0"/>
        <v>0.3852817424304925</v>
      </c>
      <c r="O26" s="16">
        <f t="shared" si="0"/>
        <v>0.3689388071262587</v>
      </c>
      <c r="P26" s="16">
        <f t="shared" si="0"/>
        <v>0.3757701676457945</v>
      </c>
      <c r="Q26" s="16">
        <f t="shared" si="0"/>
        <v>0.3757115749525617</v>
      </c>
      <c r="R26" s="16">
        <f t="shared" si="0"/>
        <v>0.48367463026166096</v>
      </c>
      <c r="S26" s="16">
        <f t="shared" si="0"/>
        <v>0.5298374128997677</v>
      </c>
      <c r="T26" s="16">
        <f t="shared" si="0"/>
        <v>0.45591259640102827</v>
      </c>
      <c r="U26" s="16">
        <f t="shared" si="0"/>
        <v>0.5406326582349793</v>
      </c>
      <c r="V26" s="16">
        <f t="shared" si="0"/>
        <v>0.5464591118549256</v>
      </c>
      <c r="W26" s="16">
        <f t="shared" si="0"/>
        <v>0.6177955772244471</v>
      </c>
      <c r="X26" s="12"/>
    </row>
    <row r="27" spans="1:24" s="11" customFormat="1" ht="12">
      <c r="A27" s="17" t="s">
        <v>119</v>
      </c>
      <c r="C27" s="15" t="s">
        <v>113</v>
      </c>
      <c r="D27" s="16">
        <f>D25/D23</f>
        <v>2.865011501150115</v>
      </c>
      <c r="E27" s="16">
        <f aca="true" t="shared" si="1" ref="E27:W27">E25/E23</f>
        <v>3.2025089939791602</v>
      </c>
      <c r="F27" s="16">
        <f t="shared" si="1"/>
        <v>3.5265932521087158</v>
      </c>
      <c r="G27" s="16">
        <f t="shared" si="1"/>
        <v>3.749076251259657</v>
      </c>
      <c r="H27" s="16">
        <f t="shared" si="1"/>
        <v>3.7920050963529226</v>
      </c>
      <c r="I27" s="16">
        <f t="shared" si="1"/>
        <v>3.8494726749760306</v>
      </c>
      <c r="J27" s="16">
        <f t="shared" si="1"/>
        <v>3.7652840246543393</v>
      </c>
      <c r="K27" s="16">
        <f t="shared" si="1"/>
        <v>3.0151994933502215</v>
      </c>
      <c r="L27" s="16">
        <f t="shared" si="1"/>
        <v>3.13397763880993</v>
      </c>
      <c r="M27" s="16">
        <f t="shared" si="1"/>
        <v>2.946311244602966</v>
      </c>
      <c r="N27" s="16">
        <f t="shared" si="1"/>
        <v>3.01237890204521</v>
      </c>
      <c r="O27" s="16">
        <f t="shared" si="1"/>
        <v>2.9817783026826388</v>
      </c>
      <c r="P27" s="16">
        <f t="shared" si="1"/>
        <v>2.890712027698329</v>
      </c>
      <c r="Q27" s="16">
        <f t="shared" si="1"/>
        <v>2.9132603574892615</v>
      </c>
      <c r="R27" s="16">
        <f t="shared" si="1"/>
        <v>2.580431341511674</v>
      </c>
      <c r="S27" s="16">
        <f t="shared" si="1"/>
        <v>2.4668683376548546</v>
      </c>
      <c r="T27" s="16">
        <f t="shared" si="1"/>
        <v>2.773166850287673</v>
      </c>
      <c r="U27" s="16">
        <f t="shared" si="1"/>
        <v>2.5043040293040293</v>
      </c>
      <c r="V27" s="16">
        <f t="shared" si="1"/>
        <v>2.51744728494122</v>
      </c>
      <c r="W27" s="16">
        <f t="shared" si="1"/>
        <v>2.3359872611464967</v>
      </c>
      <c r="X27" s="12"/>
    </row>
    <row r="28" spans="1:24" ht="12.75">
      <c r="A28" s="11" t="s">
        <v>112</v>
      </c>
      <c r="C28" s="15" t="s">
        <v>116</v>
      </c>
      <c r="D28" s="12">
        <v>780</v>
      </c>
      <c r="E28" s="12">
        <v>2190</v>
      </c>
      <c r="F28" s="12">
        <v>4062</v>
      </c>
      <c r="G28" s="12">
        <v>6209</v>
      </c>
      <c r="H28" s="12">
        <v>9615</v>
      </c>
      <c r="I28" s="12">
        <v>12538</v>
      </c>
      <c r="J28" s="12">
        <v>14281</v>
      </c>
      <c r="K28" s="12">
        <v>14159</v>
      </c>
      <c r="L28" s="12">
        <v>12989</v>
      </c>
      <c r="M28" s="12">
        <v>14059</v>
      </c>
      <c r="N28" s="12">
        <v>16156</v>
      </c>
      <c r="O28" s="12">
        <v>17724</v>
      </c>
      <c r="P28" s="12">
        <v>18684</v>
      </c>
      <c r="Q28" s="12">
        <v>20670</v>
      </c>
      <c r="R28" s="12">
        <v>23415</v>
      </c>
      <c r="S28" s="12">
        <v>29028</v>
      </c>
      <c r="T28" s="12">
        <v>37574</v>
      </c>
      <c r="U28" s="12">
        <v>45150</v>
      </c>
      <c r="V28" s="12">
        <v>61698</v>
      </c>
      <c r="W28" s="12">
        <v>80786</v>
      </c>
      <c r="X28" s="12">
        <v>97206</v>
      </c>
    </row>
    <row r="29" spans="1:23" ht="12.75">
      <c r="A29" s="13" t="s">
        <v>118</v>
      </c>
      <c r="C29" s="15" t="s">
        <v>120</v>
      </c>
      <c r="D29" s="12">
        <f>D25+D28</f>
        <v>11197.181818181818</v>
      </c>
      <c r="E29" s="12">
        <f aca="true" t="shared" si="2" ref="E29:U29">E25+E28</f>
        <v>17808.636363636364</v>
      </c>
      <c r="F29" s="12">
        <f t="shared" si="2"/>
        <v>23218.454545454544</v>
      </c>
      <c r="G29" s="12">
        <f t="shared" si="2"/>
        <v>28531</v>
      </c>
      <c r="H29" s="12">
        <f t="shared" si="2"/>
        <v>33425</v>
      </c>
      <c r="I29" s="12">
        <f t="shared" si="2"/>
        <v>36628</v>
      </c>
      <c r="J29" s="12">
        <f t="shared" si="2"/>
        <v>36884</v>
      </c>
      <c r="K29" s="12">
        <f t="shared" si="2"/>
        <v>33203</v>
      </c>
      <c r="L29" s="12">
        <f t="shared" si="2"/>
        <v>29527</v>
      </c>
      <c r="M29" s="12">
        <f t="shared" si="2"/>
        <v>29754</v>
      </c>
      <c r="N29" s="12">
        <f t="shared" si="2"/>
        <v>32947</v>
      </c>
      <c r="O29" s="12">
        <f t="shared" si="2"/>
        <v>35397</v>
      </c>
      <c r="P29" s="12">
        <f t="shared" si="2"/>
        <v>37887</v>
      </c>
      <c r="Q29" s="12">
        <f t="shared" si="2"/>
        <v>41695</v>
      </c>
      <c r="R29" s="12">
        <f t="shared" si="2"/>
        <v>49498</v>
      </c>
      <c r="S29" s="12">
        <f t="shared" si="2"/>
        <v>63278</v>
      </c>
      <c r="T29" s="12">
        <f t="shared" si="2"/>
        <v>82882</v>
      </c>
      <c r="U29" s="12">
        <f t="shared" si="2"/>
        <v>99844</v>
      </c>
      <c r="V29" s="12">
        <f>V25+V28</f>
        <v>129153</v>
      </c>
      <c r="W29" s="12">
        <f>W25+W28</f>
        <v>164405</v>
      </c>
    </row>
    <row r="30" spans="1:23" ht="12.75">
      <c r="A30" s="17" t="s">
        <v>121</v>
      </c>
      <c r="C30" s="15" t="s">
        <v>122</v>
      </c>
      <c r="D30" s="16">
        <f>D29/D23</f>
        <v>3.0795329532953293</v>
      </c>
      <c r="E30" s="16">
        <f aca="true" t="shared" si="3" ref="E30:U30">E29/E23</f>
        <v>3.6515555389863366</v>
      </c>
      <c r="F30" s="16">
        <f t="shared" si="3"/>
        <v>4.274384121033606</v>
      </c>
      <c r="G30" s="16">
        <f t="shared" si="3"/>
        <v>4.7919046019482705</v>
      </c>
      <c r="H30" s="16">
        <f t="shared" si="3"/>
        <v>5.32329988851728</v>
      </c>
      <c r="I30" s="16">
        <f t="shared" si="3"/>
        <v>5.852988175135826</v>
      </c>
      <c r="J30" s="16">
        <f t="shared" si="3"/>
        <v>6.144261202731967</v>
      </c>
      <c r="K30" s="16">
        <f t="shared" si="3"/>
        <v>5.256966434452185</v>
      </c>
      <c r="L30" s="16">
        <f t="shared" si="3"/>
        <v>5.595414061019519</v>
      </c>
      <c r="M30" s="16">
        <f t="shared" si="3"/>
        <v>5.58550779050122</v>
      </c>
      <c r="N30" s="16">
        <f t="shared" si="3"/>
        <v>5.9108360243989955</v>
      </c>
      <c r="O30" s="16">
        <f t="shared" si="3"/>
        <v>5.972161295765143</v>
      </c>
      <c r="P30" s="16">
        <f t="shared" si="3"/>
        <v>5.7032967032967035</v>
      </c>
      <c r="Q30" s="16">
        <f t="shared" si="3"/>
        <v>5.777331301094637</v>
      </c>
      <c r="R30" s="16">
        <f t="shared" si="3"/>
        <v>4.896913335971508</v>
      </c>
      <c r="S30" s="16">
        <f t="shared" si="3"/>
        <v>4.557620282339384</v>
      </c>
      <c r="T30" s="16">
        <f t="shared" si="3"/>
        <v>5.072958746480597</v>
      </c>
      <c r="U30" s="16">
        <f t="shared" si="3"/>
        <v>4.571611721611721</v>
      </c>
      <c r="V30" s="16">
        <f>V29/V23</f>
        <v>4.820041052435156</v>
      </c>
      <c r="W30" s="16">
        <f>W29/W23</f>
        <v>4.5928316012962345</v>
      </c>
    </row>
    <row r="31" spans="1:25" ht="13.5" thickBo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4">
      <selection activeCell="B34" sqref="B34"/>
    </sheetView>
  </sheetViews>
  <sheetFormatPr defaultColWidth="9.140625" defaultRowHeight="12.75"/>
  <sheetData>
    <row r="1" spans="1:3" ht="12.75">
      <c r="A1" s="19" t="s">
        <v>115</v>
      </c>
      <c r="B1" s="11"/>
      <c r="C1" s="11"/>
    </row>
    <row r="2" spans="1:3" ht="12.75">
      <c r="A2" s="11"/>
      <c r="B2" s="11"/>
      <c r="C2" s="11"/>
    </row>
    <row r="3" spans="1:3" ht="12.75">
      <c r="A3" s="11" t="s">
        <v>0</v>
      </c>
      <c r="B3" s="11" t="s">
        <v>5</v>
      </c>
      <c r="C3" s="11"/>
    </row>
    <row r="4" spans="1:3" ht="12.75">
      <c r="A4" s="11" t="s">
        <v>1</v>
      </c>
      <c r="B4" s="11" t="s">
        <v>6</v>
      </c>
      <c r="C4" s="11"/>
    </row>
    <row r="5" spans="1:3" ht="12.75">
      <c r="A5" s="11" t="s">
        <v>2</v>
      </c>
      <c r="B5" s="11" t="s">
        <v>3</v>
      </c>
      <c r="C5" s="11"/>
    </row>
    <row r="6" spans="1:3" ht="12.75">
      <c r="A6" s="11" t="s">
        <v>4</v>
      </c>
      <c r="B6" s="11" t="s">
        <v>46</v>
      </c>
      <c r="C6" s="11"/>
    </row>
    <row r="7" spans="1:3" ht="12.75">
      <c r="A7" s="11"/>
      <c r="B7" s="11" t="s">
        <v>47</v>
      </c>
      <c r="C7" s="11"/>
    </row>
    <row r="8" spans="1:3" ht="12.75">
      <c r="A8" s="11" t="s">
        <v>7</v>
      </c>
      <c r="B8" s="11" t="s">
        <v>48</v>
      </c>
      <c r="C8" s="11"/>
    </row>
    <row r="9" spans="1:3" ht="12.75">
      <c r="A9" s="11" t="s">
        <v>8</v>
      </c>
      <c r="B9" s="11" t="s">
        <v>10</v>
      </c>
      <c r="C9" s="11"/>
    </row>
    <row r="10" spans="1:3" ht="12.75">
      <c r="A10" s="11" t="s">
        <v>9</v>
      </c>
      <c r="B10" s="11" t="s">
        <v>11</v>
      </c>
      <c r="C10" s="11"/>
    </row>
    <row r="11" spans="1:3" ht="12.75">
      <c r="A11" s="11" t="s">
        <v>13</v>
      </c>
      <c r="B11" s="11" t="s">
        <v>12</v>
      </c>
      <c r="C11" s="11"/>
    </row>
    <row r="12" spans="1:3" ht="12.75">
      <c r="A12" s="11" t="s">
        <v>16</v>
      </c>
      <c r="B12" s="11" t="s">
        <v>15</v>
      </c>
      <c r="C12" s="11"/>
    </row>
    <row r="13" spans="1:3" ht="12.75">
      <c r="A13" s="11" t="s">
        <v>18</v>
      </c>
      <c r="B13" s="11" t="s">
        <v>17</v>
      </c>
      <c r="C13" s="11"/>
    </row>
    <row r="14" spans="1:3" ht="12.75">
      <c r="A14" s="11" t="s">
        <v>19</v>
      </c>
      <c r="B14" s="11" t="s">
        <v>49</v>
      </c>
      <c r="C14" s="11"/>
    </row>
    <row r="15" spans="1:3" ht="12.75">
      <c r="A15" s="11" t="s">
        <v>20</v>
      </c>
      <c r="B15" s="11" t="s">
        <v>21</v>
      </c>
      <c r="C15" s="11"/>
    </row>
    <row r="16" spans="1:3" ht="12.75">
      <c r="A16" s="11"/>
      <c r="B16" s="11" t="s">
        <v>22</v>
      </c>
      <c r="C16" s="11"/>
    </row>
    <row r="17" spans="1:3" ht="12.75">
      <c r="A17" s="11"/>
      <c r="B17" s="11" t="s">
        <v>23</v>
      </c>
      <c r="C17" s="11"/>
    </row>
    <row r="18" spans="1:3" ht="12.75">
      <c r="A18" s="11"/>
      <c r="B18" s="18" t="s">
        <v>24</v>
      </c>
      <c r="C18" s="11"/>
    </row>
    <row r="19" spans="1:3" ht="12.75">
      <c r="A19" s="11" t="s">
        <v>25</v>
      </c>
      <c r="B19" s="11" t="s">
        <v>27</v>
      </c>
      <c r="C19" s="11"/>
    </row>
    <row r="20" spans="1:3" ht="12.75">
      <c r="A20" s="11"/>
      <c r="B20" s="11" t="s">
        <v>31</v>
      </c>
      <c r="C20" s="11"/>
    </row>
    <row r="21" spans="1:3" ht="12.75">
      <c r="A21" s="11"/>
      <c r="B21" s="11"/>
      <c r="C21" s="11" t="s">
        <v>28</v>
      </c>
    </row>
    <row r="22" spans="1:3" ht="12.75">
      <c r="A22" s="11"/>
      <c r="B22" s="11" t="s">
        <v>29</v>
      </c>
      <c r="C22" s="11"/>
    </row>
    <row r="23" spans="1:3" ht="12.75">
      <c r="A23" s="11"/>
      <c r="B23" s="11" t="s">
        <v>30</v>
      </c>
      <c r="C23" s="11" t="s">
        <v>32</v>
      </c>
    </row>
    <row r="24" spans="1:3" ht="12.75">
      <c r="A24" s="11" t="s">
        <v>26</v>
      </c>
      <c r="B24" s="11" t="s">
        <v>35</v>
      </c>
      <c r="C24" s="11"/>
    </row>
    <row r="25" spans="1:3" ht="12.75">
      <c r="A25" s="11" t="s">
        <v>33</v>
      </c>
      <c r="B25" s="11" t="s">
        <v>39</v>
      </c>
      <c r="C25" s="11"/>
    </row>
    <row r="26" spans="1:3" ht="12.75">
      <c r="A26" s="11" t="s">
        <v>34</v>
      </c>
      <c r="B26" s="11" t="s">
        <v>37</v>
      </c>
      <c r="C26" s="11"/>
    </row>
    <row r="27" spans="1:3" ht="12.75">
      <c r="A27" s="11" t="s">
        <v>36</v>
      </c>
      <c r="B27" s="11" t="s">
        <v>38</v>
      </c>
      <c r="C27" s="11"/>
    </row>
    <row r="28" spans="1:3" ht="12.75">
      <c r="A28" s="11" t="s">
        <v>40</v>
      </c>
      <c r="B28" s="11" t="s">
        <v>114</v>
      </c>
      <c r="C28" s="11"/>
    </row>
    <row r="29" spans="1:3" ht="12.75">
      <c r="A29" s="11" t="s">
        <v>41</v>
      </c>
      <c r="B29" s="11" t="s">
        <v>42</v>
      </c>
      <c r="C29" s="11"/>
    </row>
    <row r="30" spans="1:3" ht="12.75">
      <c r="A30" s="11" t="s">
        <v>110</v>
      </c>
      <c r="B30" s="11" t="s">
        <v>111</v>
      </c>
      <c r="C30" s="11"/>
    </row>
    <row r="31" spans="1:3" ht="12.75">
      <c r="A31" s="11" t="s">
        <v>123</v>
      </c>
      <c r="B31" s="11" t="s">
        <v>126</v>
      </c>
      <c r="C31" s="11"/>
    </row>
    <row r="32" spans="1:3" ht="12.75">
      <c r="A32" s="11" t="s">
        <v>124</v>
      </c>
      <c r="B32" s="11" t="s">
        <v>127</v>
      </c>
      <c r="C32" s="11"/>
    </row>
    <row r="33" spans="1:3" ht="12.75">
      <c r="A33" s="11" t="s">
        <v>125</v>
      </c>
      <c r="B33" s="11" t="s">
        <v>128</v>
      </c>
      <c r="C33" s="11"/>
    </row>
    <row r="34" spans="1:2" ht="12.75">
      <c r="A34" s="11" t="s">
        <v>129</v>
      </c>
      <c r="B34" s="11" t="s">
        <v>130</v>
      </c>
    </row>
    <row r="36" spans="1:2" ht="12.75">
      <c r="A36" s="11" t="s">
        <v>43</v>
      </c>
      <c r="B36" s="11" t="s">
        <v>44</v>
      </c>
    </row>
    <row r="37" spans="1:2" ht="12.75">
      <c r="A37" s="11"/>
      <c r="B37" s="11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School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IT Services</cp:lastModifiedBy>
  <dcterms:created xsi:type="dcterms:W3CDTF">2009-05-01T09:02:50Z</dcterms:created>
  <dcterms:modified xsi:type="dcterms:W3CDTF">2009-05-01T14:25:58Z</dcterms:modified>
  <cp:category/>
  <cp:version/>
  <cp:contentType/>
  <cp:contentStatus/>
</cp:coreProperties>
</file>